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gla-my.sharepoint.com/personal/helen_hardman_glasgow_ac_uk/Documents/Documents/EE Sources 2026/HRLR/RESEARCH DATA MANAGEMENT/"/>
    </mc:Choice>
  </mc:AlternateContent>
  <xr:revisionPtr revIDLastSave="439" documentId="13_ncr:1_{C5A74DB7-D5D2-4892-83F9-9CB17E0D2796}" xr6:coauthVersionLast="47" xr6:coauthVersionMax="47" xr10:uidLastSave="{92AD8892-5C7E-42E8-A7F0-CA98C5AFF872}"/>
  <bookViews>
    <workbookView xWindow="-108" yWindow="-108" windowWidth="23256" windowHeight="13896" xr2:uid="{A4468EF7-8FEE-4088-B48A-C39495C0B57C}"/>
  </bookViews>
  <sheets>
    <sheet name="EXPLANATORY NOTES" sheetId="16" r:id="rId1"/>
    <sheet name="1.HUDOC.EXEC.data.excl.CM.Rus" sheetId="8" r:id="rId2"/>
    <sheet name="2.HUDOC.EXEC.data.incl.CM.Rus" sheetId="2" r:id="rId3"/>
    <sheet name="Table 1 Right to vote" sheetId="21" r:id="rId4"/>
    <sheet name="Table 2 Parl immunity etc." sheetId="22" r:id="rId5"/>
    <sheet name="Table 3 catalyst for reform" sheetId="23" r:id="rId6"/>
    <sheet name="Rate of remedy" sheetId="24" r:id="rId7"/>
  </sheets>
  <definedNames>
    <definedName name="_ftnref1" localSheetId="4">'Table 2 Parl immunity etc.'!$E$3</definedName>
    <definedName name="_ftnref2" localSheetId="4">'Table 2 Parl immunity etc.'!$B$33</definedName>
    <definedName name="_ftnref3" localSheetId="4">'Table 2 Parl immunity etc.'!$B$47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4" l="1"/>
  <c r="C8" i="24"/>
  <c r="B8" i="24"/>
  <c r="E5" i="24"/>
  <c r="C5" i="24"/>
  <c r="B5" i="24"/>
  <c r="E3" i="24"/>
  <c r="C3" i="24"/>
  <c r="B3" i="24"/>
  <c r="H50" i="22"/>
  <c r="G50" i="22"/>
  <c r="I30" i="2"/>
  <c r="L28" i="8"/>
  <c r="L19" i="8"/>
  <c r="L7" i="8"/>
  <c r="L11" i="8"/>
  <c r="L20" i="8"/>
  <c r="L15" i="8"/>
  <c r="L10" i="8"/>
  <c r="L13" i="8"/>
  <c r="L5" i="8"/>
  <c r="L9" i="8"/>
  <c r="L4" i="8"/>
  <c r="L26" i="8"/>
  <c r="L14" i="8"/>
  <c r="L6" i="8"/>
  <c r="L17" i="8"/>
  <c r="L23" i="8"/>
  <c r="L21" i="8"/>
  <c r="L3" i="8"/>
  <c r="L24" i="8"/>
  <c r="L29" i="8"/>
  <c r="L22" i="8"/>
  <c r="L8" i="8"/>
  <c r="L12" i="8"/>
  <c r="L16" i="8"/>
  <c r="L27" i="8"/>
  <c r="L25" i="8"/>
  <c r="L28" i="2"/>
  <c r="L19" i="2"/>
  <c r="L13" i="2"/>
  <c r="L15" i="2"/>
  <c r="L11" i="2"/>
  <c r="L7" i="2"/>
  <c r="L5" i="2"/>
  <c r="L23" i="2"/>
  <c r="L4" i="2"/>
  <c r="L8" i="2"/>
  <c r="L6" i="2"/>
  <c r="L12" i="2"/>
  <c r="L27" i="2"/>
  <c r="L14" i="2"/>
  <c r="L26" i="2"/>
  <c r="L29" i="2"/>
  <c r="L16" i="2"/>
  <c r="L30" i="2"/>
  <c r="L21" i="2"/>
  <c r="L17" i="2"/>
  <c r="L3" i="2"/>
  <c r="L25" i="2"/>
  <c r="L30" i="8"/>
  <c r="L20" i="2" l="1"/>
  <c r="L10" i="2"/>
  <c r="F30" i="2"/>
  <c r="I4" i="8"/>
  <c r="I30" i="8"/>
  <c r="F30" i="8"/>
  <c r="F13" i="2"/>
  <c r="F9" i="2"/>
  <c r="F13" i="8"/>
  <c r="L24" i="2"/>
  <c r="L18" i="2"/>
  <c r="L9" i="2"/>
  <c r="F28" i="8"/>
  <c r="I7" i="8"/>
  <c r="H7" i="8"/>
  <c r="F7" i="8"/>
  <c r="I11" i="8"/>
  <c r="H11" i="8"/>
  <c r="F11" i="8"/>
  <c r="I20" i="8"/>
  <c r="H20" i="8"/>
  <c r="F20" i="8"/>
  <c r="I15" i="8"/>
  <c r="H15" i="8"/>
  <c r="F15" i="8"/>
  <c r="I10" i="8"/>
  <c r="H10" i="8"/>
  <c r="F10" i="8"/>
  <c r="I5" i="8"/>
  <c r="H5" i="8"/>
  <c r="F5" i="8"/>
  <c r="I9" i="8"/>
  <c r="H9" i="8"/>
  <c r="F9" i="8"/>
  <c r="H4" i="8"/>
  <c r="F4" i="8"/>
  <c r="F26" i="8"/>
  <c r="I14" i="8"/>
  <c r="H14" i="8"/>
  <c r="F14" i="8"/>
  <c r="I6" i="8"/>
  <c r="H6" i="8"/>
  <c r="F6" i="8"/>
  <c r="I17" i="8"/>
  <c r="H17" i="8"/>
  <c r="F17" i="8"/>
  <c r="F23" i="8"/>
  <c r="I21" i="8"/>
  <c r="F21" i="8"/>
  <c r="I3" i="8"/>
  <c r="H3" i="8"/>
  <c r="F3" i="8"/>
  <c r="I24" i="8"/>
  <c r="F24" i="8"/>
  <c r="I29" i="8"/>
  <c r="F29" i="8"/>
  <c r="I22" i="8"/>
  <c r="F22" i="8"/>
  <c r="I8" i="8"/>
  <c r="H8" i="8"/>
  <c r="F8" i="8"/>
  <c r="I12" i="8"/>
  <c r="H12" i="8"/>
  <c r="F12" i="8"/>
  <c r="I16" i="8"/>
  <c r="F16" i="8"/>
  <c r="L18" i="8"/>
  <c r="I18" i="8"/>
  <c r="F18" i="8"/>
  <c r="F27" i="8"/>
  <c r="F29" i="2"/>
  <c r="F27" i="2"/>
  <c r="I26" i="2"/>
  <c r="F26" i="2"/>
  <c r="I24" i="2"/>
  <c r="F24" i="2"/>
  <c r="I23" i="2"/>
  <c r="F23" i="2"/>
  <c r="I22" i="2"/>
  <c r="F22" i="2"/>
  <c r="I21" i="2"/>
  <c r="F21" i="2"/>
  <c r="I20" i="2"/>
  <c r="H20" i="2"/>
  <c r="F20" i="2"/>
  <c r="I18" i="2"/>
  <c r="I17" i="2"/>
  <c r="H17" i="2"/>
  <c r="F17" i="2"/>
  <c r="I16" i="2"/>
  <c r="F16" i="2"/>
  <c r="I15" i="2"/>
  <c r="F15" i="2"/>
  <c r="I14" i="2"/>
  <c r="H14" i="2"/>
  <c r="F14" i="2"/>
  <c r="I12" i="2"/>
  <c r="H12" i="2"/>
  <c r="F12" i="2"/>
  <c r="I11" i="2"/>
  <c r="H11" i="2"/>
  <c r="F11" i="2"/>
  <c r="F10" i="2"/>
  <c r="I9" i="2"/>
  <c r="H9" i="2"/>
  <c r="I8" i="2"/>
  <c r="H8" i="2"/>
  <c r="F8" i="2"/>
  <c r="I7" i="2"/>
  <c r="H7" i="2"/>
  <c r="F7" i="2"/>
  <c r="I6" i="2"/>
  <c r="H6" i="2"/>
  <c r="F6" i="2"/>
  <c r="I5" i="2"/>
  <c r="H5" i="2"/>
  <c r="F5" i="2"/>
  <c r="I4" i="2"/>
  <c r="H4" i="2"/>
  <c r="F4" i="2"/>
  <c r="I3" i="2"/>
  <c r="H3" i="2"/>
  <c r="I29" i="2" l="1"/>
  <c r="I27" i="2"/>
  <c r="I10" i="2"/>
  <c r="F19" i="2"/>
  <c r="F18" i="2"/>
  <c r="F3" i="2"/>
  <c r="H10" i="2"/>
</calcChain>
</file>

<file path=xl/sharedStrings.xml><?xml version="1.0" encoding="utf-8"?>
<sst xmlns="http://schemas.openxmlformats.org/spreadsheetml/2006/main" count="374" uniqueCount="235">
  <si>
    <t>Right to education</t>
  </si>
  <si>
    <t>Freedom of movement</t>
  </si>
  <si>
    <t>Compensation for wrongful conviction</t>
  </si>
  <si>
    <t>Right to marry</t>
  </si>
  <si>
    <t>ECHR right</t>
  </si>
  <si>
    <t xml:space="preserve">Article ECHR </t>
  </si>
  <si>
    <t>Pending  within last 10 years</t>
  </si>
  <si>
    <t>Pending  longer than 10 years</t>
  </si>
  <si>
    <t>Closed               (number of judgments implemented and Committee of Ministers' supervision closed)</t>
  </si>
  <si>
    <t>Pending                  (number of judgments pending implementation under  supervision of the Committee of Ministers)</t>
  </si>
  <si>
    <t>Prohibition of collective expulsion of aliens</t>
  </si>
  <si>
    <t>No punishment without law</t>
  </si>
  <si>
    <t>Right to liberty and security</t>
  </si>
  <si>
    <t>Right to life</t>
  </si>
  <si>
    <t>Prohibition of torture</t>
  </si>
  <si>
    <t>Prohibition of slavery and forced labour</t>
  </si>
  <si>
    <t>Right to a fair trial</t>
  </si>
  <si>
    <t>Right to respect for private and family life</t>
  </si>
  <si>
    <t>Freedom of thought, conscience and religion</t>
  </si>
  <si>
    <t>Freedom of expression</t>
  </si>
  <si>
    <t>Freedom of assembly and association</t>
  </si>
  <si>
    <t>Right to an effective remedy</t>
  </si>
  <si>
    <t>Limitations on use of restrictions on rights</t>
  </si>
  <si>
    <t xml:space="preserve">Right of individual application to the ECtHR </t>
  </si>
  <si>
    <t>Examination of the case</t>
  </si>
  <si>
    <t>Binding force and execution of judgments</t>
  </si>
  <si>
    <t>Protection of property</t>
  </si>
  <si>
    <t>Right to free elections</t>
  </si>
  <si>
    <t>Abolition of the death penalty</t>
  </si>
  <si>
    <t>Procedural safeguards relating to expulsion of aliens</t>
  </si>
  <si>
    <t>Right of appeal in criminal matters</t>
  </si>
  <si>
    <t>Right not to be tried or punished twice</t>
  </si>
  <si>
    <t>General prohibition of discrimination</t>
  </si>
  <si>
    <t>Prohibition of discrimination</t>
  </si>
  <si>
    <t xml:space="preserve">Protocol 1, Article 1 </t>
  </si>
  <si>
    <t>Protocol 1, Article 2</t>
  </si>
  <si>
    <t>Protocol 1, Article 3</t>
  </si>
  <si>
    <t>Protocol 4, Article 2</t>
  </si>
  <si>
    <t>Protocol 4, Article 4</t>
  </si>
  <si>
    <t>Protocol 6, Article 1</t>
  </si>
  <si>
    <t>Protocol 7, Article 1</t>
  </si>
  <si>
    <t>Protocol 7, Article 2</t>
  </si>
  <si>
    <t>Protocol 7, Article 3</t>
  </si>
  <si>
    <t>Protocol 7, Article 4</t>
  </si>
  <si>
    <t>Total                        number of judgments finding a violation</t>
  </si>
  <si>
    <t xml:space="preserve">(i) Percentage of total that are pending </t>
  </si>
  <si>
    <t>(ii) Percentage of judgments pending that have been pending longer than 10 years</t>
  </si>
  <si>
    <t>Ranking (a)  according to (i) percentage pending.  Highest rank, 1, denotes largest proportion pending</t>
  </si>
  <si>
    <t>Ranking (b)  according to (ii) percentage pending longer than 10 years. Highest rank, 1, denotes slowest rate of implementation</t>
  </si>
  <si>
    <t>Ranking (b)  according to (ii) percentage pending longer than 10 years. Highest rank, 1, denotes slowest rate of execution</t>
  </si>
  <si>
    <t>Protocol_12, Article 1</t>
  </si>
  <si>
    <t>About the analysis</t>
  </si>
  <si>
    <t>How to browse the data</t>
  </si>
  <si>
    <t>Ranking (a)            according to (i) percentage pending.  Highest rank, 1, denotes largest proportion pending</t>
  </si>
  <si>
    <t>(iii) Mean of rankings (a) and (b)</t>
  </si>
  <si>
    <t>(ii) Percentage of  judgments pending that have been pending longer than 10 years</t>
  </si>
  <si>
    <t xml:space="preserve">Ranking (c)  according to (iii) mean of rankings. Highest rank, 1, denotes slowest ECHR compliance rate </t>
  </si>
  <si>
    <t>Ranking (c)        according to (iii) mean of rankings. Highest rank, 1, denotes slowest ECHR compliance rate</t>
  </si>
  <si>
    <t xml:space="preserve">Table 1. Right to vote </t>
  </si>
  <si>
    <t xml:space="preserve">Category of citizen </t>
  </si>
  <si>
    <t>EP election &amp; applicants</t>
  </si>
  <si>
    <t>Decision 1</t>
  </si>
  <si>
    <t>Decision 2</t>
  </si>
  <si>
    <t>Remedied by EP election (number of EP electoral cycles)</t>
  </si>
  <si>
    <t xml:space="preserve">Mechanism by which complaint remedied or restriction justified  </t>
  </si>
  <si>
    <t>Number of  electoral complaints* (collectively, i.e. applications joined by the Court are recorded for this purpose as one)</t>
  </si>
  <si>
    <t xml:space="preserve">Number* since remedied in the absence of a judgment finding a violation </t>
  </si>
  <si>
    <t>Citizens abroad</t>
  </si>
  <si>
    <r>
      <t xml:space="preserve">Belgium 1979                </t>
    </r>
    <r>
      <rPr>
        <i/>
        <sz val="10"/>
        <color theme="1"/>
        <rFont val="Arial"/>
        <family val="2"/>
      </rPr>
      <t>Alliance des Belges de la Communauté Européenne</t>
    </r>
  </si>
  <si>
    <t>Inadmissible</t>
  </si>
  <si>
    <t>N/A</t>
  </si>
  <si>
    <t>1994 (3)</t>
  </si>
  <si>
    <t xml:space="preserve">EU consensus </t>
  </si>
  <si>
    <t xml:space="preserve">Citizens in overseas dependent territories </t>
  </si>
  <si>
    <r>
      <t xml:space="preserve">UK (Gibraltar) 1994      </t>
    </r>
    <r>
      <rPr>
        <i/>
        <sz val="10"/>
        <color theme="1"/>
        <rFont val="Arial"/>
        <family val="2"/>
      </rPr>
      <t>Matthews</t>
    </r>
  </si>
  <si>
    <t>No violation A3P1</t>
  </si>
  <si>
    <t>Violation A3P1</t>
  </si>
  <si>
    <t>2004 (2)</t>
  </si>
  <si>
    <t>Compliance with judgment</t>
  </si>
  <si>
    <t>Disabled citizens</t>
  </si>
  <si>
    <r>
      <t xml:space="preserve">Spain 2014                  </t>
    </r>
    <r>
      <rPr>
        <i/>
        <sz val="10"/>
        <color theme="1"/>
        <rFont val="Arial"/>
        <family val="2"/>
      </rPr>
      <t>Caamaño Valle</t>
    </r>
  </si>
  <si>
    <t>No Violation A3P1</t>
  </si>
  <si>
    <t>2019 (1)</t>
  </si>
  <si>
    <t>Pre-emptive reform</t>
  </si>
  <si>
    <r>
      <t>Estonia 2014</t>
    </r>
    <r>
      <rPr>
        <i/>
        <sz val="10"/>
        <color theme="1"/>
        <rFont val="Arial"/>
        <family val="2"/>
      </rPr>
      <t xml:space="preserve">              Kullasepp</t>
    </r>
  </si>
  <si>
    <r>
      <t xml:space="preserve">Slovenia 2019                  </t>
    </r>
    <r>
      <rPr>
        <i/>
        <sz val="10"/>
        <color theme="1"/>
        <rFont val="Arial"/>
        <family val="2"/>
      </rPr>
      <t>Toplak &amp; Mrak</t>
    </r>
  </si>
  <si>
    <t xml:space="preserve">EU consensus: restriction remains </t>
  </si>
  <si>
    <t>People disenfranchised for un-citizenlike behaviour</t>
  </si>
  <si>
    <r>
      <t xml:space="preserve">Belgium 1979                 </t>
    </r>
    <r>
      <rPr>
        <i/>
        <sz val="10"/>
        <color theme="1"/>
        <rFont val="Arial"/>
        <family val="2"/>
      </rPr>
      <t>Andreas Van Wambeke</t>
    </r>
  </si>
  <si>
    <t>Issue securitisation</t>
  </si>
  <si>
    <r>
      <t xml:space="preserve">Latvia 2004        </t>
    </r>
    <r>
      <rPr>
        <i/>
        <sz val="10"/>
        <color theme="1"/>
        <rFont val="Arial"/>
        <family val="2"/>
      </rPr>
      <t>Petropavlovskis</t>
    </r>
  </si>
  <si>
    <t>Admissible</t>
  </si>
  <si>
    <t>Citizens in bankruptcy proceedings</t>
  </si>
  <si>
    <r>
      <t xml:space="preserve">Italy 1999; 2004            </t>
    </r>
    <r>
      <rPr>
        <i/>
        <sz val="10"/>
        <color theme="1"/>
        <rFont val="Arial"/>
        <family val="2"/>
      </rPr>
      <t xml:space="preserve">Albanese; Campagnano; Frazia; Melegari; Taiani; Vertucci; Vincenzo Taiani; Viola &amp; others; Vitiello; Chiumiento; Pantuso; Collarile  </t>
    </r>
    <r>
      <rPr>
        <b/>
        <sz val="10"/>
        <color theme="1"/>
        <rFont val="Arial"/>
        <family val="2"/>
      </rPr>
      <t xml:space="preserve">  </t>
    </r>
  </si>
  <si>
    <t xml:space="preserve">2009 (2) </t>
  </si>
  <si>
    <t>Prisoners</t>
  </si>
  <si>
    <r>
      <t xml:space="preserve">Italy 1994                         </t>
    </r>
    <r>
      <rPr>
        <i/>
        <sz val="10"/>
        <color theme="1"/>
        <rFont val="Arial"/>
        <family val="2"/>
      </rPr>
      <t xml:space="preserve">Labita </t>
    </r>
  </si>
  <si>
    <t>2009 (3)</t>
  </si>
  <si>
    <r>
      <t xml:space="preserve">Ireland 1994                   </t>
    </r>
    <r>
      <rPr>
        <i/>
        <sz val="10"/>
        <color theme="1"/>
        <rFont val="Arial"/>
        <family val="2"/>
      </rPr>
      <t>Holland</t>
    </r>
  </si>
  <si>
    <t>Erga Omnes</t>
  </si>
  <si>
    <r>
      <t xml:space="preserve">UK 2009; 2014                   </t>
    </r>
    <r>
      <rPr>
        <i/>
        <sz val="10"/>
        <color theme="1"/>
        <rFont val="Arial"/>
        <family val="2"/>
      </rPr>
      <t>Greens &amp; M.T.; Firth &amp; others; McHugh &amp; others; Millbank &amp; others; Miller &amp; others</t>
    </r>
  </si>
  <si>
    <t>Pilot Judgment Violation A3P1</t>
  </si>
  <si>
    <t>2019 (2)</t>
  </si>
  <si>
    <t xml:space="preserve">Compliance with judgment/                        Non-compliance with judgment                                                                         </t>
  </si>
  <si>
    <r>
      <t xml:space="preserve">Bulgaria 2009; 2014; 2019        </t>
    </r>
    <r>
      <rPr>
        <i/>
        <sz val="10"/>
        <color theme="1"/>
        <rFont val="Arial"/>
        <family val="2"/>
      </rPr>
      <t>Kulinski &amp; Sabev;             Dimov &amp; others</t>
    </r>
  </si>
  <si>
    <t>[2029] (≥4)</t>
  </si>
  <si>
    <t>Compliance pending</t>
  </si>
  <si>
    <r>
      <t xml:space="preserve">Romania 2007; 2009            </t>
    </r>
    <r>
      <rPr>
        <i/>
        <sz val="10"/>
        <color theme="1"/>
        <rFont val="Arial"/>
        <family val="2"/>
      </rPr>
      <t>Brȃndușe (No. 2); Nenciu</t>
    </r>
  </si>
  <si>
    <t>2014 (2)</t>
  </si>
  <si>
    <r>
      <t xml:space="preserve">Estonia 2019                     </t>
    </r>
    <r>
      <rPr>
        <i/>
        <sz val="10"/>
        <color theme="1"/>
        <rFont val="Arial"/>
        <family val="2"/>
      </rPr>
      <t>Kalda (No. 2)</t>
    </r>
  </si>
  <si>
    <t>TOTAL</t>
  </si>
  <si>
    <t>8/31 inadmissible or no violation</t>
  </si>
  <si>
    <t>Table 2. Parliamentary immunity; Right to stand as a candidate; election broadcasting</t>
  </si>
  <si>
    <t>Contested issue</t>
  </si>
  <si>
    <t>Remedied by EP election (electoral cycles)</t>
  </si>
  <si>
    <t xml:space="preserve">Mechanism by which complaint  remedied or restriction justified </t>
  </si>
  <si>
    <t>Number* since remedied in the absence of a judgment finding a violation</t>
  </si>
  <si>
    <t xml:space="preserve">Failure to protect MEP, Parliamentary immunity  </t>
  </si>
  <si>
    <r>
      <t xml:space="preserve">France 1989                                      </t>
    </r>
    <r>
      <rPr>
        <i/>
        <sz val="10"/>
        <color theme="1"/>
        <rFont val="Arial"/>
        <family val="2"/>
      </rPr>
      <t xml:space="preserve">Piermont </t>
    </r>
    <r>
      <rPr>
        <b/>
        <sz val="10"/>
        <color theme="1"/>
        <rFont val="Arial"/>
        <family val="2"/>
      </rPr>
      <t xml:space="preserve"> </t>
    </r>
  </si>
  <si>
    <t>Violation A10</t>
  </si>
  <si>
    <t xml:space="preserve">1999 (2) </t>
  </si>
  <si>
    <t xml:space="preserve">Compliance with judgment </t>
  </si>
  <si>
    <r>
      <t xml:space="preserve">Italy 1999                                             </t>
    </r>
    <r>
      <rPr>
        <i/>
        <sz val="10"/>
        <color theme="1"/>
        <rFont val="Arial"/>
        <family val="2"/>
      </rPr>
      <t>M.D.U.</t>
    </r>
  </si>
  <si>
    <r>
      <t xml:space="preserve">Lithuania 2019; 2024                         </t>
    </r>
    <r>
      <rPr>
        <i/>
        <sz val="10"/>
        <color theme="1"/>
        <rFont val="Arial"/>
        <family val="2"/>
      </rPr>
      <t xml:space="preserve">Uspaskich </t>
    </r>
  </si>
  <si>
    <r>
      <t xml:space="preserve">Bulgaria 2019; 2024                          </t>
    </r>
    <r>
      <rPr>
        <i/>
        <sz val="10"/>
        <color theme="1"/>
        <rFont val="Arial"/>
        <family val="2"/>
      </rPr>
      <t xml:space="preserve">Yoncheva </t>
    </r>
  </si>
  <si>
    <t>Violation A6-2</t>
  </si>
  <si>
    <t xml:space="preserve">[2029] (≥2) </t>
  </si>
  <si>
    <r>
      <t>Spain 2019</t>
    </r>
    <r>
      <rPr>
        <i/>
        <sz val="12"/>
        <color theme="1"/>
        <rFont val="Arial"/>
        <family val="2"/>
      </rPr>
      <t xml:space="preserve"> </t>
    </r>
    <r>
      <rPr>
        <b/>
        <sz val="10"/>
        <color theme="1"/>
        <rFont val="Arial"/>
        <family val="2"/>
      </rPr>
      <t xml:space="preserve">                                               </t>
    </r>
    <r>
      <rPr>
        <i/>
        <sz val="10"/>
        <color theme="1"/>
        <rFont val="Arial"/>
        <family val="2"/>
      </rPr>
      <t xml:space="preserve">Oriol Junqueras Vies </t>
    </r>
  </si>
  <si>
    <t>Pending</t>
  </si>
  <si>
    <t xml:space="preserve">                                 FPTP Electoral system  STV Electoral system </t>
  </si>
  <si>
    <r>
      <t xml:space="preserve">UK 1979                                                        </t>
    </r>
    <r>
      <rPr>
        <i/>
        <sz val="10"/>
        <color theme="1"/>
        <rFont val="Arial"/>
        <family val="2"/>
      </rPr>
      <t xml:space="preserve"> X.; The Liberal Party, Mrs R. &amp; Mr P.; Kennedy Lindsay &amp; Others</t>
    </r>
  </si>
  <si>
    <t xml:space="preserve">1999 (4) </t>
  </si>
  <si>
    <t>EU consensus</t>
  </si>
  <si>
    <t xml:space="preserve">5% Threshold </t>
  </si>
  <si>
    <r>
      <rPr>
        <b/>
        <sz val="10"/>
        <color theme="1"/>
        <rFont val="Arial"/>
        <family val="2"/>
      </rPr>
      <t xml:space="preserve">France 1979; 1984; 2019   </t>
    </r>
    <r>
      <rPr>
        <i/>
        <sz val="10"/>
        <color theme="1"/>
        <rFont val="Arial"/>
        <family val="2"/>
      </rPr>
      <t xml:space="preserve">                      Tête</t>
    </r>
    <r>
      <rPr>
        <sz val="10"/>
        <color theme="1"/>
        <rFont val="Arial"/>
        <family val="2"/>
      </rPr>
      <t xml:space="preserve">; </t>
    </r>
    <r>
      <rPr>
        <i/>
        <sz val="10"/>
        <color theme="1"/>
        <rFont val="Arial"/>
        <family val="2"/>
      </rPr>
      <t>Fournier</t>
    </r>
    <r>
      <rPr>
        <sz val="10"/>
        <color theme="1"/>
        <rFont val="Arial"/>
        <family val="2"/>
      </rPr>
      <t xml:space="preserve">; </t>
    </r>
    <r>
      <rPr>
        <i/>
        <sz val="10"/>
        <color theme="1"/>
        <rFont val="Arial"/>
        <family val="2"/>
      </rPr>
      <t>André;</t>
    </r>
    <r>
      <rPr>
        <sz val="10"/>
        <color theme="1"/>
        <rFont val="Arial"/>
        <family val="2"/>
      </rPr>
      <t xml:space="preserve"> </t>
    </r>
    <r>
      <rPr>
        <i/>
        <sz val="10"/>
        <color theme="1"/>
        <rFont val="Arial"/>
        <family val="2"/>
      </rPr>
      <t>Thouy &amp; Parti Animaliste;</t>
    </r>
    <r>
      <rPr>
        <sz val="10"/>
        <color theme="1"/>
        <rFont val="Arial"/>
        <family val="2"/>
      </rPr>
      <t xml:space="preserve"> </t>
    </r>
    <r>
      <rPr>
        <i/>
        <sz val="10"/>
        <color theme="1"/>
        <rFont val="Arial"/>
        <family val="2"/>
      </rPr>
      <t>Fairouz Hondema-Mokrane</t>
    </r>
  </si>
  <si>
    <t>EU consensus:            restriction remains</t>
  </si>
  <si>
    <t>No redistribution of mandates after Constitutional Court strikes down 5% threshold</t>
  </si>
  <si>
    <r>
      <t xml:space="preserve">Germany 2009                                         </t>
    </r>
    <r>
      <rPr>
        <i/>
        <sz val="10"/>
        <color theme="1"/>
        <rFont val="Arial"/>
        <family val="2"/>
      </rPr>
      <t>Strack and Richter</t>
    </r>
  </si>
  <si>
    <t xml:space="preserve">5% Threshold for reimbursement of electoral expenses </t>
  </si>
  <si>
    <r>
      <t xml:space="preserve">France 1979; 1984                                    </t>
    </r>
    <r>
      <rPr>
        <i/>
        <sz val="10"/>
        <color theme="1"/>
        <rFont val="Arial"/>
        <family val="2"/>
      </rPr>
      <t>Tête; Fournier</t>
    </r>
  </si>
  <si>
    <t>2004 (5)</t>
  </si>
  <si>
    <t xml:space="preserve">Proactive reform </t>
  </si>
  <si>
    <t>Deposit</t>
  </si>
  <si>
    <r>
      <t xml:space="preserve">France 1994                                              </t>
    </r>
    <r>
      <rPr>
        <i/>
        <sz val="10"/>
        <color theme="1"/>
        <rFont val="Arial"/>
        <family val="2"/>
      </rPr>
      <t>André</t>
    </r>
  </si>
  <si>
    <t xml:space="preserve">2004 (2) </t>
  </si>
  <si>
    <t>Proactive reform</t>
  </si>
  <si>
    <t xml:space="preserve">Prohibition of foreign funding </t>
  </si>
  <si>
    <r>
      <t xml:space="preserve">France 1999                                             </t>
    </r>
    <r>
      <rPr>
        <i/>
        <sz val="10"/>
        <color theme="1"/>
        <rFont val="Arial"/>
        <family val="2"/>
      </rPr>
      <t>Parti Nationaliste Basque – Organisation Régionale d’Ipparalde</t>
    </r>
  </si>
  <si>
    <t>No Violation A3P1 or A11</t>
  </si>
  <si>
    <t xml:space="preserve">Issue securitisation </t>
  </si>
  <si>
    <t>Candidate registration</t>
  </si>
  <si>
    <r>
      <t xml:space="preserve">Romania 2009                                       </t>
    </r>
    <r>
      <rPr>
        <i/>
        <sz val="10"/>
        <color theme="1"/>
        <rFont val="Arial"/>
        <family val="2"/>
      </rPr>
      <t>Neagu</t>
    </r>
  </si>
  <si>
    <t>Appointment instead of election of extra MEPs</t>
  </si>
  <si>
    <r>
      <t xml:space="preserve">France 2009                                           </t>
    </r>
    <r>
      <rPr>
        <i/>
        <sz val="10"/>
        <color theme="1"/>
        <rFont val="Arial"/>
        <family val="2"/>
      </rPr>
      <t>William Dupré</t>
    </r>
  </si>
  <si>
    <t xml:space="preserve">EU consensus  </t>
  </si>
  <si>
    <t>Restrictions on campaign broadcasting</t>
  </si>
  <si>
    <r>
      <t xml:space="preserve">France 1979; 1984; 2019                             </t>
    </r>
    <r>
      <rPr>
        <sz val="10"/>
        <color theme="1"/>
        <rFont val="Arial"/>
        <family val="2"/>
      </rPr>
      <t>Tête; Fournier; Thouy &amp; the Parti Animaliste</t>
    </r>
  </si>
  <si>
    <t xml:space="preserve">2019 (8) </t>
  </si>
  <si>
    <r>
      <t xml:space="preserve">UK 1994                                               </t>
    </r>
    <r>
      <rPr>
        <i/>
        <sz val="10"/>
        <color theme="1"/>
        <rFont val="Arial"/>
        <family val="2"/>
      </rPr>
      <t>Huggett</t>
    </r>
  </si>
  <si>
    <t>2019 (5)</t>
  </si>
  <si>
    <r>
      <t xml:space="preserve">Ireland 1989                                             </t>
    </r>
    <r>
      <rPr>
        <i/>
        <sz val="10"/>
        <color theme="1"/>
        <rFont val="Arial"/>
        <family val="2"/>
      </rPr>
      <t>Purcell &amp; others</t>
    </r>
  </si>
  <si>
    <t>1994 (1)</t>
  </si>
  <si>
    <r>
      <t xml:space="preserve">UK 1989                                                 </t>
    </r>
    <r>
      <rPr>
        <i/>
        <sz val="10"/>
        <color theme="1"/>
        <rFont val="Arial"/>
        <family val="2"/>
      </rPr>
      <t>Brind &amp; others</t>
    </r>
  </si>
  <si>
    <t>1999 (2)</t>
  </si>
  <si>
    <t xml:space="preserve">Prohibition of Anti-democratic parties and candidates </t>
  </si>
  <si>
    <r>
      <t xml:space="preserve">Spain 2004; 2009                                     </t>
    </r>
    <r>
      <rPr>
        <i/>
        <sz val="10"/>
        <color theme="1"/>
        <rFont val="Arial"/>
        <family val="2"/>
      </rPr>
      <t>Herri Batasuna &amp; Batasuna; Etxeberría, Barrena Arza, Nafarroako Autodeterminazio Bilgunea, Aiarako; Eusko Abertzale Ekintza – Acción Nacionalista Vasca (EAE-ANV);              Herritarren Zerrenda; Aukera Guztiak</t>
    </r>
  </si>
  <si>
    <t>No Violation A3P1   or A11                                                                                                                   Inadmissible</t>
  </si>
  <si>
    <t xml:space="preserve">2014 (2) </t>
  </si>
  <si>
    <r>
      <t xml:space="preserve">Latvia 2004                                         </t>
    </r>
    <r>
      <rPr>
        <i/>
        <sz val="10"/>
        <color theme="1"/>
        <rFont val="Arial"/>
        <family val="2"/>
      </rPr>
      <t>Ždanoka</t>
    </r>
  </si>
  <si>
    <t xml:space="preserve">2004-2019 (0) </t>
  </si>
  <si>
    <t>Protection from racially discriminatory campaign broadcasts</t>
  </si>
  <si>
    <r>
      <t xml:space="preserve">Bulgaria 2007; 2009                                       </t>
    </r>
    <r>
      <rPr>
        <i/>
        <sz val="10"/>
        <color theme="1"/>
        <rFont val="Arial"/>
        <family val="2"/>
      </rPr>
      <t>Behar &amp; Gutman; Budinova &amp; Chaprazov</t>
    </r>
  </si>
  <si>
    <t>Violation A8 with A14</t>
  </si>
  <si>
    <t xml:space="preserve">2024 (4) </t>
  </si>
  <si>
    <t>29/33 inadmissible or no violation</t>
  </si>
  <si>
    <t>Table 3. More generous political rights at EP elections as a catalyst for reform of national legislative elections</t>
  </si>
  <si>
    <t>National legislative election,             applicants</t>
  </si>
  <si>
    <t xml:space="preserve">Decision 1,              year issued </t>
  </si>
  <si>
    <t xml:space="preserve">Decision 2,                   year issued </t>
  </si>
  <si>
    <t>Remedied by national legislative election (number of electoral cycles)</t>
  </si>
  <si>
    <t>Mechanism by which complaint remedied or restriction justified (year remedied)</t>
  </si>
  <si>
    <t>Number* since remedied in the absence of a judgment finding  a violation</t>
  </si>
  <si>
    <r>
      <rPr>
        <b/>
        <sz val="10"/>
        <rFont val="Arial"/>
        <family val="2"/>
      </rPr>
      <t>Germany [1994]</t>
    </r>
    <r>
      <rPr>
        <i/>
        <sz val="10"/>
        <rFont val="Arial"/>
        <family val="2"/>
      </rPr>
      <t xml:space="preserve">                          Luksch</t>
    </r>
    <r>
      <rPr>
        <b/>
        <sz val="10"/>
        <color theme="10"/>
        <rFont val="Arial"/>
        <family val="2"/>
      </rPr>
      <t xml:space="preserve">   </t>
    </r>
  </si>
  <si>
    <t>Inadmissible              1997</t>
  </si>
  <si>
    <t>2013 (5)</t>
  </si>
  <si>
    <t>Proactive reform (2012)</t>
  </si>
  <si>
    <r>
      <t xml:space="preserve">Greece 2007            </t>
    </r>
    <r>
      <rPr>
        <i/>
        <sz val="10"/>
        <color theme="1"/>
        <rFont val="Arial"/>
        <family val="2"/>
      </rPr>
      <t>Sitaropoulos</t>
    </r>
  </si>
  <si>
    <t>Violation A3P1              2010</t>
  </si>
  <si>
    <t>No Violation A3P1            2012</t>
  </si>
  <si>
    <t>2023 (4)</t>
  </si>
  <si>
    <t>Proactive reform (2019)</t>
  </si>
  <si>
    <r>
      <t xml:space="preserve">Netherlands, Aruba 2006                          </t>
    </r>
    <r>
      <rPr>
        <i/>
        <sz val="10"/>
        <color theme="1"/>
        <rFont val="Arial"/>
        <family val="2"/>
      </rPr>
      <t>Oslin Benito Sevinger &amp; Michiel Godfried Eman</t>
    </r>
  </si>
  <si>
    <t>Inadmissible             2007</t>
  </si>
  <si>
    <r>
      <t xml:space="preserve">Denmark 2015                              </t>
    </r>
    <r>
      <rPr>
        <i/>
        <sz val="10"/>
        <color theme="1"/>
        <rFont val="Arial"/>
        <family val="2"/>
      </rPr>
      <t>Strøbye &amp; Rosenlind</t>
    </r>
  </si>
  <si>
    <t>No Violation A3P1                             2021</t>
  </si>
  <si>
    <t>Pre-emptive reform (2018)</t>
  </si>
  <si>
    <r>
      <t xml:space="preserve">Romania 2016; 2020                            </t>
    </r>
    <r>
      <rPr>
        <i/>
        <sz val="10"/>
        <color theme="1"/>
        <rFont val="Arial"/>
        <family val="2"/>
      </rPr>
      <t xml:space="preserve">Mironescu; Brănişteanu and others; Ursei  </t>
    </r>
  </si>
  <si>
    <t>Violation A3P1                     2021-2024</t>
  </si>
  <si>
    <t>[2028] (≥3)</t>
  </si>
  <si>
    <t xml:space="preserve">Compliance Pending </t>
  </si>
  <si>
    <t>Anti-democratic candidates</t>
  </si>
  <si>
    <r>
      <t xml:space="preserve">Latvia 2018                         </t>
    </r>
    <r>
      <rPr>
        <i/>
        <sz val="10"/>
        <color theme="1"/>
        <rFont val="Arial"/>
        <family val="2"/>
      </rPr>
      <t>Ždanoka (No.2)</t>
    </r>
  </si>
  <si>
    <t>No violation A3P1        2024</t>
  </si>
  <si>
    <t>5/8 inadmissible or no violation</t>
  </si>
  <si>
    <t>Total number of electoral cycles                                                                     (sum of those recorded in the relevant cells of column E, Tables 1-3)</t>
  </si>
  <si>
    <t xml:space="preserve">number of contested electoral issues </t>
  </si>
  <si>
    <t>Mean average number of electoral cycles                                                                          (EP = 5 years; National legislative = 4 years)</t>
  </si>
  <si>
    <t>Median number of electoral cycles</t>
  </si>
  <si>
    <t>Mean average number of years</t>
  </si>
  <si>
    <t xml:space="preserve">EP elections (Tables 1-2)                                     Rate of compliance with judgment   (also pre-emptively when violation later found) or earliest future compliance, if still pending </t>
  </si>
  <si>
    <t>EP elections (Tables 1-2)                                  Rate at which complaint remedied in the absence of a judgment finding a violation</t>
  </si>
  <si>
    <t xml:space="preserve">National legislative elections (Table 3)           Rate of compliance with judgment   (also pre-emptively when violation later found) or earliest future compliance, if still pending </t>
  </si>
  <si>
    <t xml:space="preserve">National legislative elections (Table 3)                 Rate at which complaint remedied in the absence of a judgment finding a violation       </t>
  </si>
  <si>
    <r>
      <t xml:space="preserve">Sorted data from cells B3, C3 and D3 to identify the </t>
    </r>
    <r>
      <rPr>
        <b/>
        <sz val="10"/>
        <color rgb="FFFF0000"/>
        <rFont val="Arial"/>
        <family val="2"/>
      </rPr>
      <t>median</t>
    </r>
    <r>
      <rPr>
        <b/>
        <sz val="10"/>
        <color theme="1"/>
        <rFont val="Arial"/>
        <family val="2"/>
      </rPr>
      <t xml:space="preserve"> </t>
    </r>
  </si>
  <si>
    <r>
      <t xml:space="preserve">2 2 2 2 </t>
    </r>
    <r>
      <rPr>
        <sz val="10"/>
        <color rgb="FFFF0000"/>
        <rFont val="Arial"/>
        <family val="2"/>
      </rPr>
      <t>2</t>
    </r>
    <r>
      <rPr>
        <sz val="10"/>
        <color theme="1"/>
        <rFont val="Arial"/>
        <family val="2"/>
      </rPr>
      <t xml:space="preserve"> 2 3 4 4 </t>
    </r>
  </si>
  <si>
    <r>
      <t xml:space="preserve">0 1 1 2 2 2 </t>
    </r>
    <r>
      <rPr>
        <sz val="10"/>
        <color rgb="FFFF0000"/>
        <rFont val="Arial"/>
        <family val="2"/>
      </rPr>
      <t>2</t>
    </r>
    <r>
      <rPr>
        <sz val="10"/>
        <color theme="1"/>
        <rFont val="Arial"/>
        <family val="2"/>
      </rPr>
      <t xml:space="preserve"> 3 3 4 5 5 8 </t>
    </r>
  </si>
  <si>
    <r>
      <t xml:space="preserve">1 </t>
    </r>
    <r>
      <rPr>
        <sz val="10"/>
        <color rgb="FFFF0000"/>
        <rFont val="Arial"/>
        <family val="2"/>
      </rPr>
      <t>4</t>
    </r>
    <r>
      <rPr>
        <sz val="10"/>
        <color theme="1"/>
        <rFont val="Arial"/>
        <family val="2"/>
      </rPr>
      <t xml:space="preserve"> 5</t>
    </r>
  </si>
  <si>
    <t>Part 1</t>
  </si>
  <si>
    <t xml:space="preserve">About the data </t>
  </si>
  <si>
    <t>Part 2</t>
  </si>
  <si>
    <r>
      <t>These spreadsheets pertain to the data and analysis referred to in footnote 7 of the journal article, H. Hardman (2026) 'Freer and fairer? How the ECHR has helped reform elections to the European Parliament'</t>
    </r>
    <r>
      <rPr>
        <i/>
        <sz val="14"/>
        <color theme="1"/>
        <rFont val="Aptos"/>
        <family val="2"/>
      </rPr>
      <t xml:space="preserve"> Human Rights Law Review</t>
    </r>
    <r>
      <rPr>
        <sz val="14"/>
        <color theme="1"/>
        <rFont val="Aptos"/>
        <family val="2"/>
      </rPr>
      <t xml:space="preserve"> 26(3)</t>
    </r>
  </si>
  <si>
    <r>
      <t xml:space="preserve">Spreadsheets: </t>
    </r>
    <r>
      <rPr>
        <b/>
        <sz val="14"/>
        <color theme="1"/>
        <rFont val="Aptos"/>
        <family val="2"/>
      </rPr>
      <t>Table 1 Right to vote; Table 2 Parl immunity etc.; Table 3 Catalyst for reform</t>
    </r>
    <r>
      <rPr>
        <sz val="14"/>
        <color theme="1"/>
        <rFont val="Aptos"/>
        <family val="2"/>
      </rPr>
      <t xml:space="preserve"> replicate Tables 1-3 in the above publication and include 2 extra columns (G &amp; H) to show how the data were quantified in the analysis and results calculated. Colour coding of the relevant cells in pink or green is to aid visualisation of the analysis and denotes whether the Court/Commission found a violation (pink) or not (green).  </t>
    </r>
  </si>
  <si>
    <r>
      <t xml:space="preserve">Spreadsheet </t>
    </r>
    <r>
      <rPr>
        <b/>
        <sz val="14"/>
        <color theme="1"/>
        <rFont val="Aptos"/>
        <family val="2"/>
      </rPr>
      <t>Rate of Remedy</t>
    </r>
    <r>
      <rPr>
        <sz val="14"/>
        <color theme="1"/>
        <rFont val="Aptos"/>
        <family val="2"/>
      </rPr>
      <t xml:space="preserve"> shows how the various rates of remedy etc. were calculated from the data presented in Tables 1-3. </t>
    </r>
  </si>
  <si>
    <t>Number of  electoral complaints*           (collectively, i.e. applications joined by the Court are recorded for this purpose as one)</t>
  </si>
  <si>
    <t>2. HUDOC EXEC Aggregated data, including decisions issued by the Committee of Ministers to Russia since 2022</t>
  </si>
  <si>
    <t>1. HUDOC EXEC Aggregated data, excluding decisions issued by the Committee of Ministers to Russia since 2022</t>
  </si>
  <si>
    <t>1. HUDOC EXEC Aggregated data, excluding decisions issued by the Committee of Ministers to Russia since 2022
2. HUDOC EXEC Aggregated data, including decisions issued by the Committee of Ministers to Russia since 2022</t>
  </si>
  <si>
    <t>Table 1. Right to vote
Table 2. Parliamentary immunity; Right to stand as a candidate; election broadcasting
Table 3. More generous political rights at EP elections as a catalyst for reform of national legislative elections
Calculation of the rate at which electoral complaints remedied (from Tables 1-3)</t>
  </si>
  <si>
    <t>Calculation of the rate at which electoral complaints have been remedied (from Tables 1-3)</t>
  </si>
  <si>
    <t>The data in spreadsheets 1 and 2 are organised according to the ECHR Article, beginning with Article 2. The data may be sorted according to any of the column variables. To do this, click the arrow in the header and a drop down menu will appear. Click 'largest to smallest' or 'smallest to largest' according to interest.</t>
  </si>
  <si>
    <r>
      <t xml:space="preserve">These spreadsheets pertain to data presented in Tables 1-3 and the calculation of the rate at which governments remedy complaints as presented in Section 6, </t>
    </r>
    <r>
      <rPr>
        <i/>
        <sz val="14"/>
        <color theme="1"/>
        <rFont val="Aptos"/>
        <family val="2"/>
      </rPr>
      <t>Conclusions</t>
    </r>
    <r>
      <rPr>
        <sz val="14"/>
        <color theme="1"/>
        <rFont val="Aptos"/>
        <family val="2"/>
      </rPr>
      <t xml:space="preserve">, of the  journal article, H Hardman (2026) 'Freer and fairer? How the ECHR has helped reform elections to the European Parliament' </t>
    </r>
    <r>
      <rPr>
        <i/>
        <sz val="14"/>
        <color theme="1"/>
        <rFont val="Aptos"/>
        <family val="2"/>
      </rPr>
      <t>Human Rights Law Review</t>
    </r>
    <r>
      <rPr>
        <sz val="14"/>
        <color theme="1"/>
        <rFont val="Aptos"/>
        <family val="2"/>
      </rPr>
      <t xml:space="preserve"> 26(3)</t>
    </r>
  </si>
  <si>
    <r>
      <t xml:space="preserve">Data were collected on 11 February 2026 from HUDOC exec Department for the Execution of Judgments of the European Court of Human Rights, at: </t>
    </r>
    <r>
      <rPr>
        <i/>
        <sz val="14"/>
        <color rgb="FF0070C0"/>
        <rFont val="Aptos"/>
        <family val="2"/>
      </rPr>
      <t xml:space="preserve">https://hudoc.exec.coe.int/eng </t>
    </r>
    <r>
      <rPr>
        <sz val="14"/>
        <rFont val="Aptos"/>
        <family val="2"/>
      </rPr>
      <t xml:space="preserve"> These data comprise all judgments where the Court found a violation, as recorded in the HUDOC Exec database since the Court’s inception. Issues were encountered in the HUDOC EXEC database which attributed violations of  Article 1 of Protocol 12 ECHR to Article 12 ECHR and vice versa. Data for these 2 Convention rights were therefore manually collected and inserted into excel spreadsheets 1 &amp; 2. Other inaccuracies in the database may have been reproduced in this dataset and the data and ensuing analysis should be treated with some caution. The data and analysis are impressionistic in scope and should be treated with caution because the HUDOC Exec database is not intended for this purpose.</t>
    </r>
    <r>
      <rPr>
        <sz val="14"/>
        <color theme="1"/>
        <rFont val="Aptos"/>
        <family val="2"/>
      </rPr>
      <t xml:space="preserve"> The HUDOC EXEC database is regularly updated to reflect execution of judgments and any new cases and so the data presented in these spreadsheets are the data as recorded on 11.2.2026.</t>
    </r>
  </si>
  <si>
    <r>
      <t xml:space="preserve">These 2 spreadsheets contain descriptive quantitative analysis of HUDOC EXEC data to calculate an estimate for the rate of implementation of judgments. The purpose of the analysis was to compare trends of  execution across convention rights. The term 'implementation of judgments' is used to convey the same sense as 'execution of judgments.' Please note that the method of ranking (a)-(c) in sheets 1 and 2 focuses on the speed of implementation. The ranking does not account for the quantity of judgments finding a violation but rather the proportion pending or the proportion pending longer than 10 years. The reason for this is because 1 judgment may pertain to more than one or even many applicants with the same complaint. Ranking may in any event be particularly skewed in instances where very few violations of particular convention rights have been found. The analysis was performed twice with slightly different data as reflected in the 2 accomplanying spreadsheets: </t>
    </r>
    <r>
      <rPr>
        <b/>
        <sz val="14"/>
        <color theme="1"/>
        <rFont val="Aptos"/>
        <family val="2"/>
      </rPr>
      <t>1.HUDOC.EXEC.data.excl.CM.Rus</t>
    </r>
    <r>
      <rPr>
        <sz val="14"/>
        <color theme="1"/>
        <rFont val="Aptos"/>
        <family val="2"/>
      </rPr>
      <t xml:space="preserve"> and </t>
    </r>
    <r>
      <rPr>
        <b/>
        <sz val="14"/>
        <color theme="1"/>
        <rFont val="Aptos"/>
        <family val="2"/>
      </rPr>
      <t>2.HUDOC.EXEC.data.incl.CM.Rus</t>
    </r>
    <r>
      <rPr>
        <sz val="14"/>
        <color theme="1"/>
        <rFont val="Aptos"/>
        <family val="2"/>
      </rPr>
      <t>. The first spreadsheet excluded Committee of Ministers' decisions issued to Russia since Russia's expulsion from the Council of Europe in 2022. The second sheet included these decisions in the aggregated data.</t>
    </r>
  </si>
  <si>
    <r>
      <t xml:space="preserve">These 'Part 1' notes provide information about spreadsheets </t>
    </r>
    <r>
      <rPr>
        <b/>
        <sz val="14"/>
        <color theme="1"/>
        <rFont val="Aptos"/>
        <family val="2"/>
      </rPr>
      <t>1.HUDOC.EXEC.data.excl.CM.Rus</t>
    </r>
    <r>
      <rPr>
        <sz val="14"/>
        <color theme="1"/>
        <rFont val="Aptos"/>
        <family val="2"/>
      </rPr>
      <t xml:space="preserve"> and </t>
    </r>
    <r>
      <rPr>
        <b/>
        <sz val="14"/>
        <color theme="1"/>
        <rFont val="Aptos"/>
        <family val="2"/>
      </rPr>
      <t>2.HUDOC.EXEC.data.incl.CM Rus</t>
    </r>
    <r>
      <rPr>
        <sz val="14"/>
        <color theme="1"/>
        <rFont val="Aptos"/>
        <family val="2"/>
      </rPr>
      <t xml:space="preserve"> of this excel file, with their full titles below:</t>
    </r>
  </si>
  <si>
    <r>
      <rPr>
        <sz val="14"/>
        <color theme="1"/>
        <rFont val="Aptos"/>
        <family val="2"/>
      </rPr>
      <t xml:space="preserve">These 'Part 2' notes provide information about spreadsheets                                                                                                                                                                                                                                            </t>
    </r>
    <r>
      <rPr>
        <b/>
        <sz val="14"/>
        <color theme="1"/>
        <rFont val="Aptos"/>
        <family val="2"/>
      </rPr>
      <t>Table 1 Right to vote</t>
    </r>
    <r>
      <rPr>
        <sz val="14"/>
        <color theme="1"/>
        <rFont val="Aptos"/>
        <family val="2"/>
      </rPr>
      <t xml:space="preserve">; </t>
    </r>
    <r>
      <rPr>
        <b/>
        <sz val="14"/>
        <color theme="1"/>
        <rFont val="Aptos"/>
        <family val="2"/>
      </rPr>
      <t>Table 2 Parl immunity etc.</t>
    </r>
    <r>
      <rPr>
        <sz val="14"/>
        <color theme="1"/>
        <rFont val="Aptos"/>
        <family val="2"/>
      </rPr>
      <t xml:space="preserve">; </t>
    </r>
    <r>
      <rPr>
        <b/>
        <sz val="14"/>
        <color theme="1"/>
        <rFont val="Aptos"/>
        <family val="2"/>
      </rPr>
      <t xml:space="preserve">Table 3 Catalyst for reform </t>
    </r>
    <r>
      <rPr>
        <sz val="14"/>
        <color theme="1"/>
        <rFont val="Aptos"/>
        <family val="2"/>
      </rPr>
      <t xml:space="preserve">and </t>
    </r>
    <r>
      <rPr>
        <b/>
        <sz val="14"/>
        <color theme="1"/>
        <rFont val="Aptos"/>
        <family val="2"/>
      </rPr>
      <t xml:space="preserve">Rate of remedy </t>
    </r>
    <r>
      <rPr>
        <sz val="14"/>
        <color theme="1"/>
        <rFont val="Aptos"/>
        <family val="2"/>
      </rPr>
      <t xml:space="preserve">in this excel file, with their full titles below:                       </t>
    </r>
    <r>
      <rPr>
        <u/>
        <sz val="16"/>
        <color theme="1"/>
        <rFont val="Aptos"/>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</si>
</sst>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6">
    <font>
      <sz val="11"/>
      <color theme="1"/>
      <name val="Aptos Narrow"/>
      <family val="2"/>
      <scheme val="minor"/>
    </font>
    <font>
      <sz val="9"/>
      <color rgb="FF171717"/>
      <name val="Inherit"/>
    </font>
    <font>
      <sz val="8"/>
      <name val="Aptos Narrow"/>
      <family val="2"/>
      <scheme val="minor"/>
    </font>
    <font>
      <u/>
      <sz val="11"/>
      <color theme="10"/>
      <name val="Aptos Narrow"/>
      <family val="2"/>
      <scheme val="minor"/>
    </font>
    <font>
      <sz val="11"/>
      <color rgb="FF171717"/>
      <name val="Aptos Narrow"/>
      <family val="2"/>
      <scheme val="minor"/>
    </font>
    <font>
      <sz val="16"/>
      <color theme="1"/>
      <name val="Aptos Narrow"/>
      <family val="2"/>
      <scheme val="minor"/>
    </font>
    <font>
      <sz val="18"/>
      <color theme="1"/>
      <name val="Aptos Narrow"/>
      <family val="2"/>
      <scheme val="minor"/>
    </font>
    <font>
      <b/>
      <sz val="16"/>
      <color theme="1"/>
      <name val="Aptos Narrow"/>
      <family val="2"/>
      <scheme val="minor"/>
    </font>
    <font>
      <sz val="14"/>
      <color theme="1"/>
      <name val="Aptos Narrow"/>
      <family val="2"/>
      <scheme val="minor"/>
    </font>
    <font>
      <u/>
      <sz val="14"/>
      <color theme="10"/>
      <name val="Aptos Narrow"/>
      <family val="2"/>
      <scheme val="minor"/>
    </font>
    <font>
      <b/>
      <sz val="11"/>
      <color theme="1"/>
      <name val="Aptos Narrow"/>
      <family val="2"/>
      <scheme val="minor"/>
    </font>
    <font>
      <sz val="11"/>
      <color theme="1"/>
      <name val="Arial"/>
      <family val="2"/>
    </font>
    <font>
      <sz val="16"/>
      <color theme="1"/>
      <name val="Arial"/>
      <family val="2"/>
    </font>
    <font>
      <sz val="10"/>
      <color theme="1"/>
      <name val="Arial"/>
      <family val="2"/>
    </font>
    <font>
      <i/>
      <sz val="10"/>
      <color theme="1"/>
      <name val="Arial"/>
      <family val="2"/>
    </font>
    <font>
      <i/>
      <sz val="12"/>
      <color theme="1"/>
      <name val="Arial"/>
      <family val="2"/>
    </font>
    <font>
      <b/>
      <sz val="12"/>
      <color theme="1"/>
      <name val="Arial"/>
      <family val="2"/>
    </font>
    <font>
      <sz val="11"/>
      <color theme="1"/>
      <name val="Aptos"/>
      <family val="2"/>
    </font>
    <font>
      <b/>
      <i/>
      <sz val="14"/>
      <color theme="1"/>
      <name val="Aptos"/>
      <family val="2"/>
    </font>
    <font>
      <sz val="12"/>
      <color theme="1"/>
      <name val="Aptos"/>
      <family val="2"/>
    </font>
    <font>
      <sz val="14"/>
      <color theme="1"/>
      <name val="Aptos"/>
      <family val="2"/>
    </font>
    <font>
      <b/>
      <sz val="14"/>
      <color theme="1"/>
      <name val="Aptos"/>
      <family val="2"/>
    </font>
    <font>
      <i/>
      <sz val="14"/>
      <color rgb="FF0070C0"/>
      <name val="Aptos"/>
      <family val="2"/>
    </font>
    <font>
      <sz val="14"/>
      <name val="Aptos"/>
      <family val="2"/>
    </font>
    <font>
      <b/>
      <sz val="16"/>
      <color theme="1"/>
      <name val="Arial"/>
      <family val="2"/>
    </font>
    <font>
      <b/>
      <sz val="10"/>
      <color theme="1"/>
      <name val="Arial"/>
      <family val="2"/>
    </font>
    <font>
      <b/>
      <sz val="11"/>
      <color theme="1"/>
      <name val="Arial"/>
      <family val="2"/>
    </font>
    <font>
      <b/>
      <i/>
      <sz val="10"/>
      <color theme="1"/>
      <name val="Arial"/>
      <family val="2"/>
    </font>
    <font>
      <b/>
      <sz val="10"/>
      <color theme="10"/>
      <name val="Arial"/>
      <family val="2"/>
    </font>
    <font>
      <b/>
      <sz val="10"/>
      <name val="Arial"/>
      <family val="2"/>
    </font>
    <font>
      <i/>
      <sz val="10"/>
      <name val="Arial"/>
      <family val="2"/>
    </font>
    <font>
      <b/>
      <sz val="10"/>
      <color rgb="FFFF0000"/>
      <name val="Arial"/>
      <family val="2"/>
    </font>
    <font>
      <sz val="10"/>
      <color rgb="FFFF0000"/>
      <name val="Arial"/>
      <family val="2"/>
    </font>
    <font>
      <i/>
      <sz val="14"/>
      <color theme="1"/>
      <name val="Aptos"/>
      <family val="2"/>
    </font>
    <font>
      <b/>
      <sz val="18"/>
      <color theme="1"/>
      <name val="Aptos"/>
      <family val="2"/>
    </font>
    <font>
      <u/>
      <sz val="16"/>
      <color theme="1"/>
      <name val="Aptos"/>
      <family val="2"/>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7" tint="0.79998168889431442"/>
        <bgColor indexed="64"/>
      </patternFill>
    </fill>
  </fills>
  <borders count="20">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134">
    <xf numFmtId="0" fontId="0" fillId="0" borderId="0" xfId="0"/>
    <xf numFmtId="0" fontId="0" fillId="0" borderId="0" xfId="0"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1" fontId="0" fillId="0" borderId="0" xfId="0" applyNumberFormat="1" applyAlignment="1">
      <alignment horizontal="center"/>
    </xf>
    <xf numFmtId="0" fontId="0" fillId="0" borderId="0" xfId="0" applyAlignment="1">
      <alignment horizontal="center" vertical="center" wrapText="1"/>
    </xf>
    <xf numFmtId="0" fontId="0" fillId="2" borderId="0" xfId="0" applyFill="1" applyAlignment="1">
      <alignment horizontal="center" vertical="center" wrapText="1"/>
    </xf>
    <xf numFmtId="10" fontId="0" fillId="0" borderId="0" xfId="0" applyNumberFormat="1" applyAlignment="1">
      <alignment horizontal="center"/>
    </xf>
    <xf numFmtId="0" fontId="0" fillId="0" borderId="0" xfId="0" applyAlignment="1">
      <alignment horizontal="center" vertical="center"/>
    </xf>
    <xf numFmtId="0" fontId="0" fillId="0" borderId="0" xfId="0" applyAlignment="1">
      <alignment horizontal="center" wrapText="1"/>
    </xf>
    <xf numFmtId="1" fontId="0" fillId="0" borderId="0" xfId="0" applyNumberFormat="1" applyAlignment="1">
      <alignment horizontal="center" wrapText="1"/>
    </xf>
    <xf numFmtId="10" fontId="0" fillId="0" borderId="0" xfId="0" applyNumberFormat="1" applyAlignment="1">
      <alignment horizontal="center" wrapText="1"/>
    </xf>
    <xf numFmtId="165" fontId="0" fillId="0" borderId="0" xfId="0" applyNumberFormat="1" applyAlignment="1">
      <alignment horizontal="center" wrapText="1"/>
    </xf>
    <xf numFmtId="10" fontId="0" fillId="0" borderId="0" xfId="0" applyNumberFormat="1" applyAlignment="1">
      <alignment horizontal="center" vertical="center" wrapText="1"/>
    </xf>
    <xf numFmtId="1" fontId="0" fillId="3" borderId="0" xfId="0" applyNumberFormat="1" applyFill="1" applyAlignment="1">
      <alignment horizontal="center" vertical="center" wrapText="1"/>
    </xf>
    <xf numFmtId="0" fontId="4" fillId="0" borderId="0" xfId="0" applyFont="1" applyAlignment="1">
      <alignment horizontal="center" vertical="center" wrapText="1"/>
    </xf>
    <xf numFmtId="1" fontId="4" fillId="3" borderId="0" xfId="0" applyNumberFormat="1" applyFont="1" applyFill="1" applyAlignment="1">
      <alignment horizontal="center" vertical="center" wrapText="1"/>
    </xf>
    <xf numFmtId="1" fontId="4" fillId="0" borderId="0" xfId="0" applyNumberFormat="1" applyFont="1" applyAlignment="1">
      <alignment horizontal="center" vertical="center" wrapText="1"/>
    </xf>
    <xf numFmtId="1" fontId="1" fillId="0" borderId="0" xfId="0" applyNumberFormat="1" applyFont="1" applyAlignment="1">
      <alignment horizontal="center" vertical="center" wrapText="1"/>
    </xf>
    <xf numFmtId="1" fontId="0" fillId="0" borderId="0" xfId="0" applyNumberFormat="1" applyAlignment="1">
      <alignment horizontal="center" vertical="center" wrapText="1"/>
    </xf>
    <xf numFmtId="165" fontId="0" fillId="0" borderId="0" xfId="0" applyNumberFormat="1"/>
    <xf numFmtId="1" fontId="0" fillId="0" borderId="0" xfId="0" applyNumberFormat="1" applyAlignment="1">
      <alignment horizontal="center" vertical="center"/>
    </xf>
    <xf numFmtId="10" fontId="0" fillId="0" borderId="0" xfId="0" applyNumberFormat="1" applyAlignment="1">
      <alignment horizontal="center" vertical="center"/>
    </xf>
    <xf numFmtId="1" fontId="0" fillId="5" borderId="0" xfId="0" applyNumberFormat="1" applyFill="1" applyAlignment="1">
      <alignment horizontal="center" vertical="center"/>
    </xf>
    <xf numFmtId="0" fontId="4" fillId="0" borderId="0" xfId="0" applyFont="1" applyAlignment="1">
      <alignment horizontal="center" vertical="center"/>
    </xf>
    <xf numFmtId="1" fontId="0" fillId="4" borderId="0" xfId="0" applyNumberFormat="1" applyFill="1" applyAlignment="1">
      <alignment horizontal="center" vertical="center" wrapText="1"/>
    </xf>
    <xf numFmtId="1" fontId="4" fillId="4" borderId="0" xfId="0" applyNumberFormat="1" applyFont="1" applyFill="1" applyAlignment="1">
      <alignment horizontal="center" vertical="center" wrapText="1"/>
    </xf>
    <xf numFmtId="1" fontId="0" fillId="6" borderId="0" xfId="0" applyNumberFormat="1" applyFill="1" applyAlignment="1">
      <alignment horizontal="center" vertical="center" wrapText="1"/>
    </xf>
    <xf numFmtId="1" fontId="4" fillId="6" borderId="0" xfId="0" applyNumberFormat="1" applyFont="1" applyFill="1" applyAlignment="1">
      <alignment horizontal="center" vertical="center" wrapText="1"/>
    </xf>
    <xf numFmtId="165" fontId="0" fillId="0" borderId="0" xfId="0" applyNumberFormat="1" applyAlignment="1">
      <alignment horizontal="center" vertical="center" wrapText="1"/>
    </xf>
    <xf numFmtId="165" fontId="4" fillId="0" borderId="0" xfId="0" applyNumberFormat="1" applyFont="1" applyAlignment="1">
      <alignment horizontal="center" vertical="center" wrapText="1"/>
    </xf>
    <xf numFmtId="1" fontId="0" fillId="6" borderId="0" xfId="0" applyNumberFormat="1" applyFill="1" applyAlignment="1">
      <alignment horizontal="center" vertical="center"/>
    </xf>
    <xf numFmtId="165" fontId="0" fillId="0" borderId="0" xfId="0" applyNumberFormat="1" applyAlignment="1">
      <alignment horizontal="center" vertical="center"/>
    </xf>
    <xf numFmtId="1" fontId="0" fillId="4" borderId="0" xfId="0" applyNumberFormat="1" applyFill="1" applyAlignment="1">
      <alignment horizontal="center" vertical="center"/>
    </xf>
    <xf numFmtId="0" fontId="6" fillId="0" borderId="0" xfId="0" applyFont="1"/>
    <xf numFmtId="0" fontId="5" fillId="0" borderId="0" xfId="0" applyFont="1"/>
    <xf numFmtId="1" fontId="0" fillId="0" borderId="0" xfId="0" applyNumberFormat="1"/>
    <xf numFmtId="10" fontId="4" fillId="0" borderId="0" xfId="0" applyNumberFormat="1" applyFont="1" applyAlignment="1">
      <alignment horizontal="center" vertical="center" wrapText="1"/>
    </xf>
    <xf numFmtId="0" fontId="8" fillId="0" borderId="0" xfId="0" applyFont="1"/>
    <xf numFmtId="0" fontId="9" fillId="0" borderId="0" xfId="1" applyFont="1" applyAlignment="1">
      <alignment vertical="center"/>
    </xf>
    <xf numFmtId="0" fontId="12" fillId="0" borderId="0" xfId="0" applyFont="1"/>
    <xf numFmtId="0" fontId="8" fillId="0" borderId="0" xfId="0" applyFont="1" applyAlignment="1">
      <alignment horizontal="left" vertical="center" wrapText="1"/>
    </xf>
    <xf numFmtId="0" fontId="0" fillId="0" borderId="0" xfId="0" applyAlignment="1">
      <alignment horizontal="left" vertical="center" wrapText="1"/>
    </xf>
    <xf numFmtId="0" fontId="17" fillId="0" borderId="0" xfId="0" applyFont="1"/>
    <xf numFmtId="0" fontId="18" fillId="0" borderId="0" xfId="0" applyFont="1"/>
    <xf numFmtId="0" fontId="20" fillId="0" borderId="0" xfId="0" applyFont="1" applyAlignment="1">
      <alignment horizontal="left" vertical="center" wrapText="1"/>
    </xf>
    <xf numFmtId="0" fontId="20" fillId="0" borderId="0" xfId="0" applyFont="1"/>
    <xf numFmtId="0" fontId="21" fillId="0" borderId="0" xfId="0" applyFont="1" applyAlignment="1">
      <alignment horizontal="left" wrapText="1"/>
    </xf>
    <xf numFmtId="0" fontId="25" fillId="0" borderId="2" xfId="0" applyFont="1" applyBorder="1" applyAlignment="1">
      <alignment horizontal="center" vertical="center" wrapText="1"/>
    </xf>
    <xf numFmtId="0" fontId="13" fillId="0" borderId="2" xfId="0" applyFont="1" applyBorder="1" applyAlignment="1">
      <alignment horizontal="center" vertical="center" wrapText="1"/>
    </xf>
    <xf numFmtId="1" fontId="13" fillId="0" borderId="2" xfId="0" applyNumberFormat="1" applyFont="1" applyBorder="1" applyAlignment="1">
      <alignment horizontal="center" vertical="center" wrapText="1"/>
    </xf>
    <xf numFmtId="1" fontId="25" fillId="0" borderId="0" xfId="0" applyNumberFormat="1" applyFont="1" applyAlignment="1">
      <alignment horizontal="center" vertical="center"/>
    </xf>
    <xf numFmtId="1" fontId="26" fillId="0" borderId="0" xfId="0" applyNumberFormat="1" applyFont="1" applyAlignment="1">
      <alignment horizontal="center" vertical="center"/>
    </xf>
    <xf numFmtId="0" fontId="25" fillId="0" borderId="14" xfId="0" applyFont="1" applyBorder="1" applyAlignment="1">
      <alignment horizontal="center" vertical="center" wrapText="1"/>
    </xf>
    <xf numFmtId="0" fontId="14" fillId="0" borderId="2" xfId="0" applyFont="1" applyBorder="1" applyAlignment="1">
      <alignment horizontal="center" vertical="center" wrapText="1"/>
    </xf>
    <xf numFmtId="0" fontId="25" fillId="0" borderId="2" xfId="0" applyFont="1" applyBorder="1" applyAlignment="1">
      <alignment vertical="center" wrapText="1"/>
    </xf>
    <xf numFmtId="0" fontId="13" fillId="0" borderId="2" xfId="0" applyFont="1" applyBorder="1" applyAlignment="1">
      <alignment horizontal="center" vertical="center"/>
    </xf>
    <xf numFmtId="0" fontId="25" fillId="0" borderId="0" xfId="0" applyFont="1" applyAlignment="1">
      <alignment horizontal="center" vertical="center"/>
    </xf>
    <xf numFmtId="0" fontId="25" fillId="0" borderId="10" xfId="0" applyFont="1" applyBorder="1" applyAlignment="1">
      <alignment horizontal="center" vertical="center"/>
    </xf>
    <xf numFmtId="0" fontId="25" fillId="0" borderId="2" xfId="0" applyFont="1" applyBorder="1" applyAlignment="1">
      <alignment horizontal="center" vertical="center"/>
    </xf>
    <xf numFmtId="0" fontId="25" fillId="0" borderId="16" xfId="0" applyFont="1" applyBorder="1" applyAlignment="1">
      <alignment horizontal="center" vertical="center"/>
    </xf>
    <xf numFmtId="0" fontId="25" fillId="0" borderId="0" xfId="0" applyFont="1" applyAlignment="1">
      <alignment horizontal="center"/>
    </xf>
    <xf numFmtId="0" fontId="16" fillId="0" borderId="2" xfId="0" applyFont="1" applyBorder="1" applyAlignment="1">
      <alignment horizontal="center" vertical="center" wrapText="1"/>
    </xf>
    <xf numFmtId="0" fontId="25" fillId="3" borderId="2" xfId="0" applyFont="1" applyFill="1" applyBorder="1" applyAlignment="1">
      <alignment horizontal="center" vertical="center" wrapText="1"/>
    </xf>
    <xf numFmtId="2" fontId="25" fillId="4" borderId="2" xfId="0" applyNumberFormat="1" applyFont="1" applyFill="1" applyBorder="1" applyAlignment="1">
      <alignment horizontal="center" vertical="center" wrapText="1"/>
    </xf>
    <xf numFmtId="1" fontId="25" fillId="3" borderId="2" xfId="0" applyNumberFormat="1" applyFont="1" applyFill="1" applyBorder="1" applyAlignment="1">
      <alignment horizontal="center" vertical="center" wrapText="1"/>
    </xf>
    <xf numFmtId="1" fontId="25" fillId="4" borderId="2" xfId="0" applyNumberFormat="1" applyFont="1" applyFill="1" applyBorder="1" applyAlignment="1">
      <alignment horizontal="center" vertical="center" wrapText="1"/>
    </xf>
    <xf numFmtId="165" fontId="13" fillId="0" borderId="2" xfId="0" applyNumberFormat="1" applyFont="1" applyBorder="1" applyAlignment="1">
      <alignment horizontal="center" vertical="center"/>
    </xf>
    <xf numFmtId="165" fontId="13" fillId="0" borderId="2" xfId="0" applyNumberFormat="1" applyFont="1" applyBorder="1" applyAlignment="1">
      <alignment horizontal="center" vertical="center" wrapText="1"/>
    </xf>
    <xf numFmtId="0" fontId="20" fillId="0" borderId="0" xfId="0" applyFont="1" applyAlignment="1">
      <alignment horizontal="left" wrapText="1"/>
    </xf>
    <xf numFmtId="0" fontId="35" fillId="0" borderId="0" xfId="0" applyFont="1"/>
    <xf numFmtId="0" fontId="34" fillId="0" borderId="0" xfId="0" applyFont="1" applyAlignment="1">
      <alignment horizontal="center" vertical="center" wrapText="1"/>
    </xf>
    <xf numFmtId="0" fontId="20" fillId="0" borderId="0" xfId="0" applyFont="1" applyAlignment="1">
      <alignment horizontal="center" vertical="center" wrapText="1"/>
    </xf>
    <xf numFmtId="0" fontId="34" fillId="0" borderId="0" xfId="0" applyFont="1" applyAlignment="1">
      <alignment horizontal="center"/>
    </xf>
    <xf numFmtId="0" fontId="35" fillId="0" borderId="0" xfId="0" applyFont="1" applyAlignment="1">
      <alignment horizontal="center" vertical="center" wrapText="1"/>
    </xf>
    <xf numFmtId="1" fontId="26" fillId="0" borderId="2" xfId="0" applyNumberFormat="1" applyFont="1" applyBorder="1" applyAlignment="1">
      <alignment horizontal="center" vertical="center" wrapText="1"/>
    </xf>
    <xf numFmtId="0" fontId="25"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4" xfId="0" applyFont="1" applyBorder="1" applyAlignment="1">
      <alignment wrapText="1"/>
    </xf>
    <xf numFmtId="0" fontId="0" fillId="0" borderId="0" xfId="0" applyAlignment="1">
      <alignment wrapText="1"/>
    </xf>
    <xf numFmtId="0" fontId="0" fillId="0" borderId="8" xfId="0" applyBorder="1" applyAlignment="1">
      <alignment wrapText="1"/>
    </xf>
    <xf numFmtId="0" fontId="0" fillId="0" borderId="9" xfId="0" applyBorder="1" applyAlignment="1">
      <alignment wrapText="1"/>
    </xf>
    <xf numFmtId="1" fontId="25" fillId="0" borderId="5" xfId="0" applyNumberFormat="1" applyFont="1" applyBorder="1" applyAlignment="1">
      <alignment horizontal="center" vertical="center" wrapText="1"/>
    </xf>
    <xf numFmtId="0" fontId="25" fillId="0" borderId="10" xfId="0" applyFont="1" applyBorder="1" applyAlignment="1">
      <alignment horizontal="center" vertical="center" wrapText="1"/>
    </xf>
    <xf numFmtId="1" fontId="26" fillId="0" borderId="6" xfId="0" applyNumberFormat="1" applyFont="1" applyBorder="1" applyAlignment="1">
      <alignment horizontal="center" vertical="center" wrapText="1"/>
    </xf>
    <xf numFmtId="0" fontId="10" fillId="0" borderId="10" xfId="0" applyFont="1" applyBorder="1" applyAlignment="1">
      <alignment horizontal="center" vertical="center" wrapText="1"/>
    </xf>
    <xf numFmtId="0" fontId="25" fillId="0" borderId="2" xfId="0" applyFont="1" applyBorder="1" applyAlignment="1">
      <alignment horizontal="center" vertical="center" wrapText="1"/>
    </xf>
    <xf numFmtId="0" fontId="0" fillId="0" borderId="2" xfId="0" applyBorder="1" applyAlignment="1">
      <alignment horizontal="center" vertical="center" wrapText="1"/>
    </xf>
    <xf numFmtId="0" fontId="13" fillId="0" borderId="2" xfId="0" applyFont="1" applyBorder="1" applyAlignment="1">
      <alignment horizontal="center" vertical="center" wrapText="1"/>
    </xf>
    <xf numFmtId="1" fontId="13" fillId="0" borderId="2" xfId="0" applyNumberFormat="1" applyFont="1" applyBorder="1" applyAlignment="1">
      <alignment horizontal="center" vertical="center" wrapText="1"/>
    </xf>
    <xf numFmtId="0" fontId="25" fillId="4" borderId="2"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0" borderId="2" xfId="0" applyBorder="1" applyAlignment="1">
      <alignment wrapText="1"/>
    </xf>
    <xf numFmtId="0" fontId="0" fillId="4" borderId="2" xfId="0" applyFill="1" applyBorder="1" applyAlignment="1">
      <alignment wrapText="1"/>
    </xf>
    <xf numFmtId="0" fontId="25"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27" fillId="0" borderId="2" xfId="0" applyFont="1" applyBorder="1" applyAlignment="1">
      <alignment horizontal="center" vertical="center" wrapText="1"/>
    </xf>
    <xf numFmtId="0" fontId="10" fillId="0" borderId="2" xfId="0" applyFont="1" applyBorder="1" applyAlignment="1">
      <alignment wrapText="1"/>
    </xf>
    <xf numFmtId="0" fontId="10" fillId="0" borderId="2" xfId="0" applyFont="1" applyBorder="1" applyAlignment="1">
      <alignment horizontal="center" vertical="center" wrapText="1"/>
    </xf>
    <xf numFmtId="0" fontId="0" fillId="3" borderId="2" xfId="0" applyFill="1" applyBorder="1" applyAlignment="1">
      <alignment wrapText="1"/>
    </xf>
    <xf numFmtId="1" fontId="25" fillId="0" borderId="2" xfId="0" applyNumberFormat="1" applyFont="1" applyBorder="1" applyAlignment="1">
      <alignment horizontal="center" vertical="center" wrapText="1"/>
    </xf>
    <xf numFmtId="0" fontId="24" fillId="7" borderId="17" xfId="0" applyFont="1" applyFill="1" applyBorder="1" applyAlignment="1">
      <alignment horizontal="center" vertical="center" wrapText="1"/>
    </xf>
    <xf numFmtId="0" fontId="16" fillId="7" borderId="18" xfId="0" applyFont="1" applyFill="1" applyBorder="1" applyAlignment="1">
      <alignment horizontal="center" vertical="center" wrapText="1"/>
    </xf>
    <xf numFmtId="0" fontId="0" fillId="7" borderId="18" xfId="0" applyFill="1" applyBorder="1" applyAlignment="1">
      <alignment horizontal="center" vertical="center" wrapText="1"/>
    </xf>
    <xf numFmtId="0" fontId="0" fillId="7" borderId="19" xfId="0" applyFill="1" applyBorder="1" applyAlignment="1">
      <alignment horizontal="center" vertical="center" wrapText="1"/>
    </xf>
    <xf numFmtId="1" fontId="25" fillId="0" borderId="10" xfId="0" applyNumberFormat="1" applyFont="1" applyBorder="1" applyAlignment="1">
      <alignment horizontal="center" vertical="center" wrapText="1"/>
    </xf>
    <xf numFmtId="0" fontId="26" fillId="0" borderId="15" xfId="0" applyFont="1" applyBorder="1" applyAlignment="1">
      <alignment horizontal="center" vertical="center" wrapText="1"/>
    </xf>
    <xf numFmtId="0" fontId="26" fillId="0" borderId="8" xfId="0" applyFont="1" applyBorder="1" applyAlignment="1">
      <alignment horizontal="center" vertical="center" wrapText="1"/>
    </xf>
    <xf numFmtId="0" fontId="0" fillId="0" borderId="2" xfId="0" applyBorder="1"/>
    <xf numFmtId="0" fontId="25" fillId="0" borderId="1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3" xfId="0" applyFont="1" applyBorder="1" applyAlignment="1">
      <alignment horizontal="center" vertical="center" wrapText="1"/>
    </xf>
    <xf numFmtId="0" fontId="13" fillId="0" borderId="2" xfId="0" applyFont="1" applyBorder="1" applyAlignment="1">
      <alignment horizontal="center" wrapText="1"/>
    </xf>
    <xf numFmtId="0" fontId="25" fillId="0" borderId="13" xfId="0" applyFont="1" applyBorder="1" applyAlignment="1">
      <alignment horizontal="center" vertical="center" wrapText="1"/>
    </xf>
    <xf numFmtId="0" fontId="25" fillId="0" borderId="1" xfId="0" applyFont="1" applyBorder="1" applyAlignment="1">
      <alignment horizontal="center" vertical="center" wrapText="1"/>
    </xf>
    <xf numFmtId="0" fontId="24" fillId="7" borderId="1" xfId="0" applyFont="1" applyFill="1" applyBorder="1" applyAlignment="1">
      <alignment horizontal="center" vertical="center" wrapText="1"/>
    </xf>
    <xf numFmtId="0" fontId="16" fillId="7" borderId="0" xfId="0" applyFont="1" applyFill="1" applyAlignment="1">
      <alignment horizontal="center" vertical="center" wrapText="1"/>
    </xf>
    <xf numFmtId="0" fontId="0" fillId="7" borderId="0" xfId="0" applyFill="1" applyAlignment="1">
      <alignment horizontal="center" vertical="center" wrapText="1"/>
    </xf>
    <xf numFmtId="0" fontId="0" fillId="7" borderId="3" xfId="0" applyFill="1" applyBorder="1" applyAlignment="1">
      <alignment horizontal="center" vertical="center" wrapText="1"/>
    </xf>
    <xf numFmtId="0" fontId="0" fillId="0" borderId="12" xfId="0" applyBorder="1" applyAlignment="1">
      <alignment horizontal="center" vertical="center" wrapText="1"/>
    </xf>
    <xf numFmtId="0" fontId="11"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0" fillId="0" borderId="2" xfId="0" applyBorder="1" applyAlignment="1">
      <alignment horizontal="center" wrapText="1"/>
    </xf>
    <xf numFmtId="0" fontId="28" fillId="0" borderId="2" xfId="1" applyFont="1" applyBorder="1" applyAlignment="1">
      <alignment horizontal="center" vertical="center" wrapText="1"/>
    </xf>
    <xf numFmtId="0" fontId="0" fillId="7" borderId="0" xfId="0" applyFill="1"/>
    <xf numFmtId="0" fontId="0" fillId="7" borderId="3" xfId="0" applyFill="1" applyBorder="1"/>
    <xf numFmtId="0" fontId="16" fillId="7" borderId="1" xfId="0" applyFont="1" applyFill="1" applyBorder="1" applyAlignment="1">
      <alignment horizontal="center" vertical="center" wrapText="1"/>
    </xf>
    <xf numFmtId="1" fontId="0" fillId="0" borderId="2" xfId="0" applyNumberFormat="1" applyBorder="1" applyAlignment="1">
      <alignment horizontal="center" vertical="center" wrapText="1"/>
    </xf>
    <xf numFmtId="0" fontId="24" fillId="7" borderId="9" xfId="0" applyFont="1" applyFill="1" applyBorder="1" applyAlignment="1">
      <alignment horizontal="center" vertical="center" wrapText="1"/>
    </xf>
    <xf numFmtId="0" fontId="10" fillId="7" borderId="9" xfId="0" applyFont="1" applyFill="1" applyBorder="1" applyAlignment="1">
      <alignment horizontal="center" vertical="center"/>
    </xf>
    <xf numFmtId="0" fontId="10" fillId="7" borderId="7" xfId="0" applyFont="1" applyFill="1" applyBorder="1" applyAlignment="1">
      <alignment horizontal="center" vertical="center"/>
    </xf>
    <xf numFmtId="0" fontId="7" fillId="0" borderId="0" xfId="0" applyFont="1" applyAlignment="1">
      <alignment horizontal="center" wrapText="1"/>
    </xf>
    <xf numFmtId="0" fontId="0" fillId="0" borderId="0" xfId="0" applyAlignment="1">
      <alignment horizontal="center" wrapText="1"/>
    </xf>
    <xf numFmtId="0" fontId="7" fillId="0" borderId="2" xfId="0" applyFont="1" applyBorder="1" applyAlignment="1">
      <alignment horizontal="center" wrapText="1"/>
    </xf>
  </cellXfs>
  <cellStyles count="2">
    <cellStyle name="Hyperlink" xfId="1" builtinId="8"/>
    <cellStyle name="Normal" xfId="0" builtinId="0"/>
  </cellStyles>
  <dxfs count="30">
    <dxf>
      <numFmt numFmtId="1" formatCode="0"/>
      <alignment horizontal="center" textRotation="0" indent="0" justifyLastLine="0" shrinkToFit="0" readingOrder="0"/>
    </dxf>
    <dxf>
      <numFmt numFmtId="165" formatCode="0.0"/>
      <alignment horizontal="center" textRotation="0" indent="0" justifyLastLine="0" shrinkToFit="0" readingOrder="0"/>
    </dxf>
    <dxf>
      <alignment horizontal="center" textRotation="0" indent="0" justifyLastLine="0" shrinkToFit="0" readingOrder="0"/>
    </dxf>
    <dxf>
      <alignment horizontal="center" textRotation="0" indent="0" justifyLastLine="0" shrinkToFit="0" readingOrder="0"/>
    </dxf>
    <dxf>
      <numFmt numFmtId="14" formatCode="0.00%"/>
      <alignment horizontal="center" textRotation="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4" formatCode="0.00%"/>
      <alignment horizontal="center" textRotation="0" indent="0" justifyLastLine="0" shrinkToFit="0" readingOrder="0"/>
    </dxf>
    <dxf>
      <font>
        <b val="0"/>
        <i val="0"/>
        <strike val="0"/>
        <condense val="0"/>
        <extend val="0"/>
        <outline val="0"/>
        <shadow val="0"/>
        <u val="none"/>
        <vertAlign val="baseline"/>
        <sz val="9"/>
        <color rgb="FF171717"/>
        <name val="Inherit"/>
        <scheme val="none"/>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9"/>
        <color rgb="FF171717"/>
        <name val="Inherit"/>
        <scheme val="none"/>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9"/>
        <color rgb="FF171717"/>
        <name val="Inherit"/>
        <scheme val="none"/>
      </font>
      <numFmt numFmtId="1" formatCode="0"/>
      <alignment horizontal="center" vertical="center" textRotation="0" wrapText="1" indent="0" justifyLastLine="0" shrinkToFit="0" readingOrder="0"/>
    </dxf>
    <dxf>
      <font>
        <b val="0"/>
        <i val="0"/>
        <strike val="0"/>
        <condense val="0"/>
        <extend val="0"/>
        <outline val="0"/>
        <shadow val="0"/>
        <u val="none"/>
        <vertAlign val="baseline"/>
        <sz val="9"/>
        <color rgb="FF171717"/>
        <name val="Inherit"/>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171717"/>
        <name val="Inherit"/>
        <scheme val="none"/>
      </font>
      <alignment horizontal="center" vertical="center" textRotation="0" wrapText="1" indent="0" justifyLastLine="0" shrinkToFit="0" readingOrder="0"/>
    </dxf>
    <dxf>
      <alignment horizontal="center" textRotation="0" indent="0" justifyLastLine="0" shrinkToFit="0" readingOrder="0"/>
    </dxf>
    <dxf>
      <font>
        <b val="0"/>
        <i val="0"/>
        <strike val="0"/>
        <condense val="0"/>
        <extend val="0"/>
        <outline val="0"/>
        <shadow val="0"/>
        <u val="none"/>
        <vertAlign val="baseline"/>
        <sz val="11"/>
        <color theme="1"/>
        <name val="Aptos Narrow"/>
        <family val="2"/>
        <scheme val="minor"/>
      </font>
      <numFmt numFmtId="1" formatCode="0"/>
      <alignment horizontal="center" vertical="bottom" textRotation="0" wrapText="1" indent="0" justifyLastLine="0" shrinkToFit="0" readingOrder="0"/>
    </dxf>
    <dxf>
      <numFmt numFmtId="1" formatCode="0"/>
      <fill>
        <patternFill patternType="none">
          <fgColor indexed="64"/>
          <bgColor indexed="65"/>
        </patternFill>
      </fill>
      <alignment horizontal="center" vertical="bottom" textRotation="0" wrapText="0" indent="0" justifyLastLine="0" shrinkToFit="0" readingOrder="0"/>
    </dxf>
    <dxf>
      <numFmt numFmtId="165" formatCode="0.0"/>
      <fill>
        <patternFill patternType="none">
          <fgColor indexed="64"/>
          <bgColor auto="1"/>
        </patternFill>
      </fill>
      <alignment horizontal="center" vertical="bottom" textRotation="0" wrapText="0" indent="0" justifyLastLine="0" shrinkToFit="0" readingOrder="0"/>
    </dxf>
    <dxf>
      <numFmt numFmtId="1" formatCode="0"/>
      <fill>
        <patternFill patternType="solid">
          <fgColor indexed="64"/>
          <bgColor theme="8" tint="0.79998168889431442"/>
        </patternFill>
      </fill>
      <alignment horizontal="center" vertical="bottom" textRotation="0" wrapText="0" indent="0" justifyLastLine="0" shrinkToFit="0" readingOrder="0"/>
    </dxf>
    <dxf>
      <numFmt numFmtId="1" formatCode="0"/>
      <fill>
        <patternFill patternType="solid">
          <fgColor indexed="64"/>
          <bgColor rgb="FF92D050"/>
        </patternFill>
      </fill>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 formatCode="0"/>
      <alignment horizontal="center" textRotation="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font>
        <b val="0"/>
        <i val="0"/>
        <strike val="0"/>
        <condense val="0"/>
        <extend val="0"/>
        <outline val="0"/>
        <shadow val="0"/>
        <u val="none"/>
        <vertAlign val="baseline"/>
        <sz val="9"/>
        <color rgb="FF171717"/>
        <name val="Inherit"/>
        <scheme val="none"/>
      </font>
      <alignment horizontal="center" vertical="center" textRotation="0" wrapText="1" indent="0" justifyLastLine="0" shrinkToFit="0" readingOrder="0"/>
    </dxf>
    <dxf>
      <font>
        <b val="0"/>
        <i val="0"/>
        <strike val="0"/>
        <condense val="0"/>
        <extend val="0"/>
        <outline val="0"/>
        <shadow val="0"/>
        <u val="none"/>
        <vertAlign val="baseline"/>
        <sz val="9"/>
        <color rgb="FF171717"/>
        <name val="Inherit"/>
        <scheme val="none"/>
      </font>
      <alignment horizontal="center" vertical="center" textRotation="0" wrapText="1" indent="0" justifyLastLine="0" shrinkToFit="0" readingOrder="0"/>
    </dxf>
    <dxf>
      <alignment horizontal="center" textRotation="0" indent="0" justifyLastLine="0" shrinkToFit="0" readingOrder="0"/>
    </dxf>
    <dxf>
      <numFmt numFmtId="1" formatCode="0"/>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0C62A95-BA9D-41D3-9479-AA059AEBECCA}" name="Table1435" displayName="Table1435" ref="A2:M30" totalsRowShown="0" headerRowDxfId="29" dataDxfId="28">
  <autoFilter ref="A2:M30" xr:uid="{72408D71-ADA9-4092-8E2F-6A87E91F171C}"/>
  <sortState xmlns:xlrd2="http://schemas.microsoft.com/office/spreadsheetml/2017/richdata2" ref="A3:M30">
    <sortCondition ref="A2:A30"/>
  </sortState>
  <tableColumns count="13">
    <tableColumn id="1" xr3:uid="{8655CC9D-5D88-4E2B-B2CE-DA61988E15C8}" name="Article ECHR " dataDxfId="27"/>
    <tableColumn id="12" xr3:uid="{697F23B8-3EC4-46D4-97A5-DF148A32458B}" name="ECHR right" dataDxfId="26"/>
    <tableColumn id="14" xr3:uid="{A5C65FC1-2671-4A85-8B95-3FACB283365D}" name="Total                        number of judgments finding a violation" dataDxfId="25"/>
    <tableColumn id="13" xr3:uid="{481E4672-EB23-4DAD-A5EB-2C9C25766C93}" name="Closed               (number of judgments implemented and Committee of Ministers' supervision closed)" dataDxfId="24"/>
    <tableColumn id="9" xr3:uid="{37F3FD8C-0F47-4AF6-A53D-08A0E84F90B2}" name="Pending                  (number of judgments pending implementation under  supervision of the Committee of Ministers)" dataDxfId="23"/>
    <tableColumn id="18" xr3:uid="{0D828B9A-BC0F-45F4-A1F7-97C6C5B35E62}" name="(i) Percentage of total that are pending " dataDxfId="22">
      <calculatedColumnFormula>25/31</calculatedColumnFormula>
    </tableColumn>
    <tableColumn id="15" xr3:uid="{3884B5BA-8679-4EB3-A982-CABBE1E7D5BA}" name="Pending  within last 10 years" dataDxfId="21"/>
    <tableColumn id="16" xr3:uid="{27FFA3AF-E1A4-49CB-91D4-FCC6ACF07F0F}" name="Pending  longer than 10 years" dataDxfId="20"/>
    <tableColumn id="11" xr3:uid="{FE223556-8FC7-480B-9953-D2674B3852E4}" name="(ii) Percentage of  judgments pending that have been pending longer than 10 years" dataDxfId="19"/>
    <tableColumn id="2" xr3:uid="{23B5F1DB-8210-4372-A30E-58720FBDFFEB}" name="Ranking (a)            according to (i) percentage pending.  Highest rank, 1, denotes largest proportion pending" dataDxfId="18"/>
    <tableColumn id="3" xr3:uid="{CFF455F1-C3BF-4688-937F-B803CA2C9BF3}" name="Ranking (b)  according to (ii) percentage pending longer than 10 years. Highest rank, 1, denotes slowest rate of implementation" dataDxfId="17"/>
    <tableColumn id="4" xr3:uid="{EE00BBD5-CBFD-49FB-83B0-6DC12D9661B6}" name="(iii) Mean of rankings (a) and (b)" dataDxfId="16"/>
    <tableColumn id="5" xr3:uid="{93469C2E-0215-4E47-A56C-902C2FCBD42C}" name="Ranking (c)  according to (iii) mean of rankings. Highest rank, 1, denotes slowest ECHR compliance rate " dataDxfId="1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408D71-ADA9-4092-8E2F-6A87E91F171C}" name="Table1" displayName="Table1" ref="A2:M30" totalsRowShown="0" headerRowDxfId="14" dataDxfId="13">
  <autoFilter ref="A2:M30" xr:uid="{72408D71-ADA9-4092-8E2F-6A87E91F171C}"/>
  <sortState xmlns:xlrd2="http://schemas.microsoft.com/office/spreadsheetml/2017/richdata2" ref="A3:M30">
    <sortCondition ref="A2:A30"/>
  </sortState>
  <tableColumns count="13">
    <tableColumn id="1" xr3:uid="{EFFC1749-BA69-4AD8-8173-B71AD60B9E4A}" name="Article ECHR " dataDxfId="12"/>
    <tableColumn id="9" xr3:uid="{C43CF361-B112-4345-AE93-756238FCE7EE}" name="ECHR right" dataDxfId="11"/>
    <tableColumn id="2" xr3:uid="{D87A9B45-233D-464C-8379-F14BF236C7C9}" name="Total                        number of judgments finding a violation" dataDxfId="10"/>
    <tableColumn id="3" xr3:uid="{84F7140B-9978-42D9-A64E-A4E0960C7E68}" name="Closed               (number of judgments implemented and Committee of Ministers' supervision closed)" dataDxfId="9"/>
    <tableColumn id="4" xr3:uid="{16BF0C46-C0C3-45A5-9E18-38C7137D628B}" name="Pending                  (number of judgments pending implementation under  supervision of the Committee of Ministers)" dataDxfId="8"/>
    <tableColumn id="5" xr3:uid="{4A571F3E-7C3F-4159-AE66-01358C5071F3}" name="(i) Percentage of total that are pending " dataDxfId="7"/>
    <tableColumn id="6" xr3:uid="{7B0C5066-F470-414C-AF81-A833C76DE492}" name="Pending  within last 10 years" dataDxfId="6"/>
    <tableColumn id="7" xr3:uid="{7CF3FE2E-6BBE-407B-8110-AE2F8C80164E}" name="Pending  longer than 10 years" dataDxfId="5"/>
    <tableColumn id="8" xr3:uid="{FC4EA02B-9191-42ED-B652-D1E10E4218E8}" name="(ii) Percentage of judgments pending that have been pending longer than 10 years" dataDxfId="4"/>
    <tableColumn id="10" xr3:uid="{8FE7A7EE-B9F1-464F-A620-655BCD4E3401}" name="Ranking (a)  according to (i) percentage pending.  Highest rank, 1, denotes largest proportion pending" dataDxfId="3"/>
    <tableColumn id="11" xr3:uid="{D9F8CDB6-9B72-441C-B2E1-7C35B3828BAC}" name="Ranking (b)  according to (ii) percentage pending longer than 10 years. Highest rank, 1, denotes slowest rate of execution" dataDxfId="2"/>
    <tableColumn id="13" xr3:uid="{ED3AD564-60E2-4EA6-AD0A-3A652C3CB8BF}" name="(iii) Mean of rankings (a) and (b)" dataDxfId="1"/>
    <tableColumn id="14" xr3:uid="{3AA3E5F6-6EE6-4075-919E-D337CEBD6A31}" name="Ranking (c)        according to (iii) mean of rankings. Highest rank, 1, denotes slowest ECHR compliance rat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FB09C-E667-4AAA-8AF6-CC63A664A931}">
  <dimension ref="A1:AB64"/>
  <sheetViews>
    <sheetView tabSelected="1" workbookViewId="0">
      <selection activeCell="A23" sqref="A23"/>
    </sheetView>
  </sheetViews>
  <sheetFormatPr defaultRowHeight="14.4"/>
  <cols>
    <col min="1" max="1" width="201.77734375" customWidth="1"/>
    <col min="2" max="10" width="8.88671875" customWidth="1"/>
  </cols>
  <sheetData>
    <row r="1" spans="1:28" ht="30.6" customHeight="1">
      <c r="A1" s="71" t="s">
        <v>217</v>
      </c>
    </row>
    <row r="2" spans="1:28" ht="27" customHeight="1">
      <c r="A2" s="72" t="s">
        <v>233</v>
      </c>
    </row>
    <row r="3" spans="1:28" ht="40.799999999999997" customHeight="1">
      <c r="A3" s="72" t="s">
        <v>226</v>
      </c>
    </row>
    <row r="4" spans="1:28" ht="36">
      <c r="A4" s="69" t="s">
        <v>220</v>
      </c>
    </row>
    <row r="5" spans="1:28" ht="18">
      <c r="A5" s="47"/>
    </row>
    <row r="6" spans="1:28" ht="18">
      <c r="A6" s="44" t="s">
        <v>218</v>
      </c>
      <c r="B6" s="38"/>
    </row>
    <row r="7" spans="1:28" s="40" customFormat="1" ht="126">
      <c r="A7" s="45" t="s">
        <v>231</v>
      </c>
    </row>
    <row r="8" spans="1:28" s="40" customFormat="1" ht="20.399999999999999">
      <c r="A8" s="45"/>
    </row>
    <row r="9" spans="1:28" ht="18">
      <c r="A9" s="44" t="s">
        <v>51</v>
      </c>
      <c r="B9" s="38"/>
      <c r="C9" s="38"/>
      <c r="D9" s="38"/>
      <c r="E9" s="38"/>
      <c r="F9" s="38"/>
      <c r="G9" s="38"/>
      <c r="H9" s="38"/>
      <c r="I9" s="38"/>
      <c r="J9" s="38"/>
      <c r="K9" s="38"/>
      <c r="L9" s="38"/>
      <c r="M9" s="38"/>
      <c r="N9" s="38"/>
      <c r="O9" s="38"/>
      <c r="P9" s="38"/>
      <c r="Q9" s="38"/>
      <c r="R9" s="38"/>
      <c r="S9" s="38"/>
      <c r="T9" s="38"/>
      <c r="U9" s="38"/>
      <c r="V9" s="38"/>
      <c r="W9" s="38"/>
      <c r="X9" s="38"/>
      <c r="Y9" s="38"/>
    </row>
    <row r="10" spans="1:28" ht="144">
      <c r="A10" s="45" t="s">
        <v>232</v>
      </c>
      <c r="B10" s="38"/>
      <c r="C10" s="38"/>
      <c r="D10" s="38"/>
      <c r="E10" s="38"/>
      <c r="F10" s="38"/>
      <c r="G10" s="38"/>
      <c r="H10" s="38"/>
      <c r="I10" s="38"/>
      <c r="J10" s="38"/>
      <c r="K10" s="38"/>
      <c r="L10" s="38"/>
      <c r="M10" s="38"/>
      <c r="N10" s="38"/>
      <c r="O10" s="38"/>
      <c r="P10" s="38"/>
      <c r="Q10" s="38"/>
      <c r="R10" s="38"/>
      <c r="S10" s="39"/>
      <c r="T10" s="38"/>
      <c r="U10" s="38"/>
      <c r="V10" s="38"/>
      <c r="W10" s="38"/>
      <c r="X10" s="38"/>
      <c r="Y10" s="38"/>
      <c r="Z10" s="35"/>
      <c r="AA10" s="34"/>
      <c r="AB10" s="34"/>
    </row>
    <row r="11" spans="1:28" ht="18">
      <c r="A11" s="46"/>
      <c r="B11" s="38"/>
      <c r="C11" s="38"/>
      <c r="D11" s="38"/>
      <c r="E11" s="38"/>
      <c r="F11" s="38"/>
      <c r="G11" s="38"/>
      <c r="H11" s="38"/>
      <c r="I11" s="38"/>
      <c r="J11" s="38"/>
      <c r="K11" s="38"/>
      <c r="L11" s="38"/>
      <c r="M11" s="38"/>
      <c r="N11" s="38"/>
      <c r="O11" s="38"/>
      <c r="P11" s="38"/>
      <c r="Q11" s="38"/>
      <c r="R11" s="38"/>
      <c r="S11" s="38"/>
      <c r="T11" s="38"/>
      <c r="U11" s="38"/>
      <c r="V11" s="38"/>
      <c r="W11" s="38"/>
      <c r="X11" s="38"/>
      <c r="Y11" s="38"/>
    </row>
    <row r="12" spans="1:28" ht="18">
      <c r="A12" s="44" t="s">
        <v>52</v>
      </c>
      <c r="B12" s="38"/>
      <c r="C12" s="38"/>
      <c r="D12" s="38"/>
      <c r="E12" s="38"/>
      <c r="F12" s="38"/>
      <c r="G12" s="38"/>
      <c r="H12" s="38"/>
      <c r="I12" s="38"/>
      <c r="J12" s="38"/>
      <c r="K12" s="38"/>
      <c r="L12" s="38"/>
      <c r="M12" s="38"/>
      <c r="N12" s="38"/>
      <c r="O12" s="38"/>
      <c r="P12" s="38"/>
      <c r="Q12" s="38"/>
      <c r="R12" s="38"/>
      <c r="S12" s="38"/>
      <c r="T12" s="38"/>
      <c r="U12" s="38"/>
      <c r="V12" s="38"/>
      <c r="W12" s="38"/>
      <c r="X12" s="38"/>
      <c r="Y12" s="38"/>
    </row>
    <row r="13" spans="1:28" s="42" customFormat="1" ht="36">
      <c r="A13" s="45" t="s">
        <v>229</v>
      </c>
      <c r="B13" s="41"/>
      <c r="C13" s="41"/>
      <c r="D13" s="41"/>
      <c r="E13" s="41"/>
      <c r="F13" s="41"/>
      <c r="G13" s="41"/>
      <c r="H13" s="41"/>
      <c r="I13" s="41"/>
      <c r="J13" s="41"/>
      <c r="K13" s="41"/>
      <c r="L13" s="41"/>
      <c r="M13" s="41"/>
      <c r="N13" s="41"/>
      <c r="O13" s="41"/>
      <c r="P13" s="41"/>
      <c r="Q13" s="41"/>
      <c r="R13" s="41"/>
      <c r="S13" s="41"/>
      <c r="T13" s="41"/>
      <c r="U13" s="41"/>
      <c r="V13" s="41"/>
      <c r="W13" s="41"/>
      <c r="X13" s="41"/>
      <c r="Y13" s="41"/>
    </row>
    <row r="15" spans="1:28" ht="23.4">
      <c r="A15" s="73" t="s">
        <v>219</v>
      </c>
    </row>
    <row r="16" spans="1:28" s="70" customFormat="1" ht="39" customHeight="1">
      <c r="A16" s="74" t="s">
        <v>234</v>
      </c>
    </row>
    <row r="17" spans="1:1" s="70" customFormat="1" ht="93" customHeight="1">
      <c r="A17" s="72" t="s">
        <v>227</v>
      </c>
    </row>
    <row r="18" spans="1:1" s="43" customFormat="1" ht="36">
      <c r="A18" s="45" t="s">
        <v>230</v>
      </c>
    </row>
    <row r="19" spans="1:1" s="43" customFormat="1" ht="18">
      <c r="A19" s="45"/>
    </row>
    <row r="20" spans="1:1" s="43" customFormat="1" ht="54">
      <c r="A20" s="45" t="s">
        <v>221</v>
      </c>
    </row>
    <row r="21" spans="1:1" s="43" customFormat="1" ht="18">
      <c r="A21" s="45"/>
    </row>
    <row r="22" spans="1:1" s="43" customFormat="1" ht="18">
      <c r="A22" s="45" t="s">
        <v>222</v>
      </c>
    </row>
    <row r="33" ht="119.4" customHeight="1"/>
    <row r="64" ht="194.4" customHeight="1"/>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095C0-EE68-4423-836F-ECD5521209A0}">
  <dimension ref="A1:M30"/>
  <sheetViews>
    <sheetView zoomScaleNormal="100" workbookViewId="0">
      <selection activeCell="A2" sqref="A2"/>
    </sheetView>
  </sheetViews>
  <sheetFormatPr defaultRowHeight="14.4"/>
  <cols>
    <col min="1" max="1" width="20.109375" style="1" customWidth="1"/>
    <col min="2" max="2" width="46.21875" style="1" customWidth="1"/>
    <col min="3" max="3" width="16.109375" style="4" customWidth="1"/>
    <col min="4" max="4" width="17.88671875" style="4" customWidth="1"/>
    <col min="5" max="5" width="18.33203125" style="4" customWidth="1"/>
    <col min="6" max="6" width="16.44140625" style="7" customWidth="1"/>
    <col min="7" max="7" width="10.6640625" style="1" customWidth="1"/>
    <col min="8" max="8" width="10.5546875" style="1" customWidth="1"/>
    <col min="9" max="9" width="17.77734375" style="7" customWidth="1"/>
    <col min="10" max="10" width="22" style="4" customWidth="1"/>
    <col min="11" max="11" width="17.21875" style="4" customWidth="1"/>
    <col min="12" max="12" width="19.6640625" style="3" customWidth="1"/>
    <col min="13" max="13" width="18.88671875" style="4" customWidth="1"/>
  </cols>
  <sheetData>
    <row r="1" spans="1:13" ht="21.6" customHeight="1">
      <c r="A1" s="133" t="s">
        <v>225</v>
      </c>
      <c r="B1" s="122"/>
      <c r="C1" s="122"/>
      <c r="D1" s="122"/>
      <c r="E1" s="122"/>
      <c r="F1" s="122"/>
      <c r="G1" s="122"/>
      <c r="H1" s="122"/>
      <c r="I1" s="122"/>
      <c r="J1" s="122"/>
      <c r="K1" s="122"/>
      <c r="L1" s="122"/>
      <c r="M1" s="122"/>
    </row>
    <row r="2" spans="1:13" ht="120.6" customHeight="1">
      <c r="A2" s="9" t="s">
        <v>5</v>
      </c>
      <c r="B2" s="9" t="s">
        <v>4</v>
      </c>
      <c r="C2" s="10" t="s">
        <v>44</v>
      </c>
      <c r="D2" s="10" t="s">
        <v>8</v>
      </c>
      <c r="E2" s="10" t="s">
        <v>9</v>
      </c>
      <c r="F2" s="11" t="s">
        <v>45</v>
      </c>
      <c r="G2" s="10" t="s">
        <v>6</v>
      </c>
      <c r="H2" s="9" t="s">
        <v>7</v>
      </c>
      <c r="I2" s="11" t="s">
        <v>55</v>
      </c>
      <c r="J2" s="10" t="s">
        <v>53</v>
      </c>
      <c r="K2" s="10" t="s">
        <v>48</v>
      </c>
      <c r="L2" s="12" t="s">
        <v>54</v>
      </c>
      <c r="M2" s="10" t="s">
        <v>56</v>
      </c>
    </row>
    <row r="3" spans="1:13" s="8" customFormat="1">
      <c r="A3" s="24">
        <v>2</v>
      </c>
      <c r="B3" s="8" t="s">
        <v>13</v>
      </c>
      <c r="C3" s="21">
        <v>1292</v>
      </c>
      <c r="D3" s="21">
        <v>539</v>
      </c>
      <c r="E3" s="21">
        <v>753</v>
      </c>
      <c r="F3" s="22">
        <f>753/1292</f>
        <v>0.58281733746130027</v>
      </c>
      <c r="G3" s="21">
        <v>608</v>
      </c>
      <c r="H3" s="21">
        <f>753-608</f>
        <v>145</v>
      </c>
      <c r="I3" s="22">
        <f>145/753</f>
        <v>0.19256308100929614</v>
      </c>
      <c r="J3" s="31">
        <v>10</v>
      </c>
      <c r="K3" s="33">
        <v>9</v>
      </c>
      <c r="L3" s="32">
        <f>19/2</f>
        <v>9.5</v>
      </c>
      <c r="M3" s="23">
        <v>5</v>
      </c>
    </row>
    <row r="4" spans="1:13" s="8" customFormat="1">
      <c r="A4" s="24">
        <v>3</v>
      </c>
      <c r="B4" s="8" t="s">
        <v>14</v>
      </c>
      <c r="C4" s="21">
        <v>6480</v>
      </c>
      <c r="D4" s="21">
        <v>4127</v>
      </c>
      <c r="E4" s="21">
        <v>2353</v>
      </c>
      <c r="F4" s="22">
        <f>2353/6480</f>
        <v>0.36311728395061726</v>
      </c>
      <c r="G4" s="21">
        <v>1767</v>
      </c>
      <c r="H4" s="21">
        <f>2353-1767</f>
        <v>586</v>
      </c>
      <c r="I4" s="22">
        <f>586/2353</f>
        <v>0.24904377390565235</v>
      </c>
      <c r="J4" s="31">
        <v>18</v>
      </c>
      <c r="K4" s="33">
        <v>6</v>
      </c>
      <c r="L4" s="32">
        <f>24/2</f>
        <v>12</v>
      </c>
      <c r="M4" s="23">
        <v>10</v>
      </c>
    </row>
    <row r="5" spans="1:13" s="8" customFormat="1">
      <c r="A5" s="24">
        <v>4</v>
      </c>
      <c r="B5" s="8" t="s">
        <v>15</v>
      </c>
      <c r="C5" s="21">
        <v>1506</v>
      </c>
      <c r="D5" s="21">
        <v>976</v>
      </c>
      <c r="E5" s="21">
        <v>530</v>
      </c>
      <c r="F5" s="22">
        <f>530/1506</f>
        <v>0.35192563081009298</v>
      </c>
      <c r="G5" s="21">
        <v>446</v>
      </c>
      <c r="H5" s="21">
        <f>530-446</f>
        <v>84</v>
      </c>
      <c r="I5" s="22">
        <f>84/530</f>
        <v>0.15849056603773584</v>
      </c>
      <c r="J5" s="31">
        <v>20</v>
      </c>
      <c r="K5" s="33">
        <v>11</v>
      </c>
      <c r="L5" s="32">
        <f>31/2</f>
        <v>15.5</v>
      </c>
      <c r="M5" s="23">
        <v>17</v>
      </c>
    </row>
    <row r="6" spans="1:13" s="8" customFormat="1">
      <c r="A6" s="24">
        <v>5</v>
      </c>
      <c r="B6" s="8" t="s">
        <v>12</v>
      </c>
      <c r="C6" s="21">
        <v>3077</v>
      </c>
      <c r="D6" s="21">
        <v>1862</v>
      </c>
      <c r="E6" s="21">
        <v>1215</v>
      </c>
      <c r="F6" s="22">
        <f>1215/3077</f>
        <v>0.39486512837179072</v>
      </c>
      <c r="G6" s="21">
        <v>936</v>
      </c>
      <c r="H6" s="21">
        <f>1215-936</f>
        <v>279</v>
      </c>
      <c r="I6" s="22">
        <f>279/1215</f>
        <v>0.22962962962962963</v>
      </c>
      <c r="J6" s="31">
        <v>15</v>
      </c>
      <c r="K6" s="33">
        <v>8</v>
      </c>
      <c r="L6" s="32">
        <f>23/2</f>
        <v>11.5</v>
      </c>
      <c r="M6" s="23">
        <v>8</v>
      </c>
    </row>
    <row r="7" spans="1:13" s="8" customFormat="1">
      <c r="A7" s="24">
        <v>6</v>
      </c>
      <c r="B7" s="8" t="s">
        <v>16</v>
      </c>
      <c r="C7" s="21">
        <v>10592</v>
      </c>
      <c r="D7" s="21">
        <v>8934</v>
      </c>
      <c r="E7" s="21">
        <v>1658</v>
      </c>
      <c r="F7" s="22">
        <f>1658/10592</f>
        <v>0.1565332326283988</v>
      </c>
      <c r="G7" s="21">
        <v>1399</v>
      </c>
      <c r="H7" s="21">
        <f>1658-1399</f>
        <v>259</v>
      </c>
      <c r="I7" s="22">
        <f>259/1658</f>
        <v>0.15621230398069963</v>
      </c>
      <c r="J7" s="31">
        <v>26</v>
      </c>
      <c r="K7" s="33">
        <v>12</v>
      </c>
      <c r="L7" s="32">
        <f>38/2</f>
        <v>19</v>
      </c>
      <c r="M7" s="23">
        <v>23</v>
      </c>
    </row>
    <row r="8" spans="1:13" s="8" customFormat="1">
      <c r="A8" s="24">
        <v>7</v>
      </c>
      <c r="B8" s="8" t="s">
        <v>11</v>
      </c>
      <c r="C8" s="21">
        <v>202</v>
      </c>
      <c r="D8" s="21">
        <v>69</v>
      </c>
      <c r="E8" s="21">
        <v>133</v>
      </c>
      <c r="F8" s="22">
        <f>133/202</f>
        <v>0.65841584158415845</v>
      </c>
      <c r="G8" s="21">
        <v>127</v>
      </c>
      <c r="H8" s="21">
        <f>133-127</f>
        <v>6</v>
      </c>
      <c r="I8" s="22">
        <f>6/133</f>
        <v>4.5112781954887216E-2</v>
      </c>
      <c r="J8" s="31">
        <v>6</v>
      </c>
      <c r="K8" s="33">
        <v>21</v>
      </c>
      <c r="L8" s="32">
        <f>27/2</f>
        <v>13.5</v>
      </c>
      <c r="M8" s="23">
        <v>16</v>
      </c>
    </row>
    <row r="9" spans="1:13" s="8" customFormat="1">
      <c r="A9" s="24">
        <v>8</v>
      </c>
      <c r="B9" s="8" t="s">
        <v>17</v>
      </c>
      <c r="C9" s="21">
        <v>1568</v>
      </c>
      <c r="D9" s="21">
        <v>1003</v>
      </c>
      <c r="E9" s="21">
        <v>565</v>
      </c>
      <c r="F9" s="22">
        <f>565/1568</f>
        <v>0.36033163265306123</v>
      </c>
      <c r="G9" s="21">
        <v>481</v>
      </c>
      <c r="H9" s="21">
        <f>565-481</f>
        <v>84</v>
      </c>
      <c r="I9" s="22">
        <f>84/565</f>
        <v>0.14867256637168141</v>
      </c>
      <c r="J9" s="31">
        <v>19</v>
      </c>
      <c r="K9" s="33">
        <v>15</v>
      </c>
      <c r="L9" s="32">
        <f>34/2</f>
        <v>17</v>
      </c>
      <c r="M9" s="23">
        <v>18</v>
      </c>
    </row>
    <row r="10" spans="1:13" s="8" customFormat="1">
      <c r="A10" s="24">
        <v>9</v>
      </c>
      <c r="B10" s="8" t="s">
        <v>18</v>
      </c>
      <c r="C10" s="21">
        <v>79</v>
      </c>
      <c r="D10" s="21">
        <v>53</v>
      </c>
      <c r="E10" s="21">
        <v>26</v>
      </c>
      <c r="F10" s="22">
        <f>26/79</f>
        <v>0.32911392405063289</v>
      </c>
      <c r="G10" s="21">
        <v>22</v>
      </c>
      <c r="H10" s="21">
        <f>26-22</f>
        <v>4</v>
      </c>
      <c r="I10" s="22">
        <f>4/26</f>
        <v>0.15384615384615385</v>
      </c>
      <c r="J10" s="31">
        <v>22</v>
      </c>
      <c r="K10" s="33">
        <v>13</v>
      </c>
      <c r="L10" s="32">
        <f>35/2</f>
        <v>17.5</v>
      </c>
      <c r="M10" s="23">
        <v>21</v>
      </c>
    </row>
    <row r="11" spans="1:13" s="8" customFormat="1">
      <c r="A11" s="24">
        <v>10</v>
      </c>
      <c r="B11" s="8" t="s">
        <v>19</v>
      </c>
      <c r="C11" s="21">
        <v>866</v>
      </c>
      <c r="D11" s="21">
        <v>628</v>
      </c>
      <c r="E11" s="21">
        <v>238</v>
      </c>
      <c r="F11" s="22">
        <f>238/866</f>
        <v>0.27482678983833719</v>
      </c>
      <c r="G11" s="21">
        <v>217</v>
      </c>
      <c r="H11" s="21">
        <f>238-217</f>
        <v>21</v>
      </c>
      <c r="I11" s="22">
        <f>21/238</f>
        <v>8.8235294117647065E-2</v>
      </c>
      <c r="J11" s="31">
        <v>25</v>
      </c>
      <c r="K11" s="33">
        <v>18</v>
      </c>
      <c r="L11" s="32">
        <f>43/2</f>
        <v>21.5</v>
      </c>
      <c r="M11" s="23">
        <v>25</v>
      </c>
    </row>
    <row r="12" spans="1:13" s="8" customFormat="1">
      <c r="A12" s="24">
        <v>11</v>
      </c>
      <c r="B12" s="8" t="s">
        <v>20</v>
      </c>
      <c r="C12" s="21">
        <v>517</v>
      </c>
      <c r="D12" s="21">
        <v>173</v>
      </c>
      <c r="E12" s="21">
        <v>344</v>
      </c>
      <c r="F12" s="22">
        <f>344/517</f>
        <v>0.66537717601547386</v>
      </c>
      <c r="G12" s="21">
        <v>316</v>
      </c>
      <c r="H12" s="21">
        <f>344-316</f>
        <v>28</v>
      </c>
      <c r="I12" s="22">
        <f>28/344</f>
        <v>8.1395348837209308E-2</v>
      </c>
      <c r="J12" s="31">
        <v>5</v>
      </c>
      <c r="K12" s="33">
        <v>19</v>
      </c>
      <c r="L12" s="32">
        <f>24/2</f>
        <v>12</v>
      </c>
      <c r="M12" s="23">
        <v>10</v>
      </c>
    </row>
    <row r="13" spans="1:13" s="8" customFormat="1">
      <c r="A13" s="24">
        <v>12</v>
      </c>
      <c r="B13" s="8" t="s">
        <v>3</v>
      </c>
      <c r="C13" s="21">
        <v>6</v>
      </c>
      <c r="D13" s="21">
        <v>4</v>
      </c>
      <c r="E13" s="21">
        <v>2</v>
      </c>
      <c r="F13" s="22">
        <f>2/6</f>
        <v>0.33333333333333331</v>
      </c>
      <c r="G13" s="21">
        <v>2</v>
      </c>
      <c r="H13" s="21">
        <v>0</v>
      </c>
      <c r="I13" s="22">
        <v>0</v>
      </c>
      <c r="J13" s="31">
        <v>21</v>
      </c>
      <c r="K13" s="33">
        <v>22</v>
      </c>
      <c r="L13" s="32">
        <f>43/2</f>
        <v>21.5</v>
      </c>
      <c r="M13" s="23">
        <v>25</v>
      </c>
    </row>
    <row r="14" spans="1:13" s="8" customFormat="1">
      <c r="A14" s="24">
        <v>13</v>
      </c>
      <c r="B14" s="8" t="s">
        <v>21</v>
      </c>
      <c r="C14" s="21">
        <v>2828</v>
      </c>
      <c r="D14" s="21">
        <v>1740</v>
      </c>
      <c r="E14" s="21">
        <v>1088</v>
      </c>
      <c r="F14" s="22">
        <f>1088/2828</f>
        <v>0.38472418670438474</v>
      </c>
      <c r="G14" s="21">
        <v>801</v>
      </c>
      <c r="H14" s="21">
        <f>1088-801</f>
        <v>287</v>
      </c>
      <c r="I14" s="22">
        <f>287/1088</f>
        <v>0.26378676470588236</v>
      </c>
      <c r="J14" s="31">
        <v>16</v>
      </c>
      <c r="K14" s="33">
        <v>5</v>
      </c>
      <c r="L14" s="32">
        <f>21/2</f>
        <v>10.5</v>
      </c>
      <c r="M14" s="23">
        <v>7</v>
      </c>
    </row>
    <row r="15" spans="1:13" s="8" customFormat="1">
      <c r="A15" s="24">
        <v>14</v>
      </c>
      <c r="B15" s="8" t="s">
        <v>33</v>
      </c>
      <c r="C15" s="21">
        <v>266</v>
      </c>
      <c r="D15" s="21">
        <v>181</v>
      </c>
      <c r="E15" s="21">
        <v>85</v>
      </c>
      <c r="F15" s="22">
        <f>80/254</f>
        <v>0.31496062992125984</v>
      </c>
      <c r="G15" s="21">
        <v>72</v>
      </c>
      <c r="H15" s="21">
        <f>85-72</f>
        <v>13</v>
      </c>
      <c r="I15" s="22">
        <f>13/85</f>
        <v>0.15294117647058825</v>
      </c>
      <c r="J15" s="31">
        <v>23</v>
      </c>
      <c r="K15" s="33">
        <v>14</v>
      </c>
      <c r="L15" s="32">
        <f>37/2</f>
        <v>18.5</v>
      </c>
      <c r="M15" s="23">
        <v>22</v>
      </c>
    </row>
    <row r="16" spans="1:13" s="8" customFormat="1">
      <c r="A16" s="24">
        <v>18</v>
      </c>
      <c r="B16" s="8" t="s">
        <v>22</v>
      </c>
      <c r="C16" s="21">
        <v>21</v>
      </c>
      <c r="D16" s="21">
        <v>6</v>
      </c>
      <c r="E16" s="21">
        <v>15</v>
      </c>
      <c r="F16" s="22">
        <f>15/21</f>
        <v>0.7142857142857143</v>
      </c>
      <c r="G16" s="21">
        <v>14</v>
      </c>
      <c r="H16" s="21">
        <v>1</v>
      </c>
      <c r="I16" s="22">
        <f>1/15</f>
        <v>6.6666666666666666E-2</v>
      </c>
      <c r="J16" s="31">
        <v>4</v>
      </c>
      <c r="K16" s="33">
        <v>20</v>
      </c>
      <c r="L16" s="32">
        <f>24/2</f>
        <v>12</v>
      </c>
      <c r="M16" s="23">
        <v>10</v>
      </c>
    </row>
    <row r="17" spans="1:13" s="8" customFormat="1">
      <c r="A17" s="24">
        <v>34</v>
      </c>
      <c r="B17" s="8" t="s">
        <v>23</v>
      </c>
      <c r="C17" s="21">
        <v>152</v>
      </c>
      <c r="D17" s="21">
        <v>80</v>
      </c>
      <c r="E17" s="21">
        <v>72</v>
      </c>
      <c r="F17" s="22">
        <f>72/152</f>
        <v>0.47368421052631576</v>
      </c>
      <c r="G17" s="21">
        <v>55</v>
      </c>
      <c r="H17" s="21">
        <f>72-55</f>
        <v>17</v>
      </c>
      <c r="I17" s="22">
        <f>17/72</f>
        <v>0.2361111111111111</v>
      </c>
      <c r="J17" s="31">
        <v>13</v>
      </c>
      <c r="K17" s="33">
        <v>7</v>
      </c>
      <c r="L17" s="32">
        <f>20/2</f>
        <v>10</v>
      </c>
      <c r="M17" s="23">
        <v>6</v>
      </c>
    </row>
    <row r="18" spans="1:13" s="8" customFormat="1">
      <c r="A18" s="24">
        <v>38</v>
      </c>
      <c r="B18" s="8" t="s">
        <v>24</v>
      </c>
      <c r="C18" s="21">
        <v>31</v>
      </c>
      <c r="D18" s="21">
        <v>6</v>
      </c>
      <c r="E18" s="21">
        <v>25</v>
      </c>
      <c r="F18" s="22">
        <f>25/31</f>
        <v>0.80645161290322576</v>
      </c>
      <c r="G18" s="21">
        <v>12</v>
      </c>
      <c r="H18" s="21">
        <v>13</v>
      </c>
      <c r="I18" s="22">
        <f>13/25</f>
        <v>0.52</v>
      </c>
      <c r="J18" s="31">
        <v>3</v>
      </c>
      <c r="K18" s="33">
        <v>1</v>
      </c>
      <c r="L18" s="32">
        <f>4/2</f>
        <v>2</v>
      </c>
      <c r="M18" s="23">
        <v>1</v>
      </c>
    </row>
    <row r="19" spans="1:13" s="8" customFormat="1">
      <c r="A19" s="24">
        <v>46</v>
      </c>
      <c r="B19" s="8" t="s">
        <v>25</v>
      </c>
      <c r="C19" s="21">
        <v>1</v>
      </c>
      <c r="D19" s="21">
        <v>1</v>
      </c>
      <c r="E19" s="21">
        <v>0</v>
      </c>
      <c r="F19" s="22">
        <v>0</v>
      </c>
      <c r="G19" s="21">
        <v>1</v>
      </c>
      <c r="H19" s="21">
        <v>0</v>
      </c>
      <c r="I19" s="22">
        <v>0</v>
      </c>
      <c r="J19" s="31">
        <v>27</v>
      </c>
      <c r="K19" s="33">
        <v>22</v>
      </c>
      <c r="L19" s="32">
        <f>49/2</f>
        <v>24.5</v>
      </c>
      <c r="M19" s="23">
        <v>27</v>
      </c>
    </row>
    <row r="20" spans="1:13" s="8" customFormat="1">
      <c r="A20" s="15" t="s">
        <v>34</v>
      </c>
      <c r="B20" s="8" t="s">
        <v>26</v>
      </c>
      <c r="C20" s="21">
        <v>1878</v>
      </c>
      <c r="D20" s="21">
        <v>1357</v>
      </c>
      <c r="E20" s="21">
        <v>521</v>
      </c>
      <c r="F20" s="22">
        <f>521/1878</f>
        <v>0.27742279020234289</v>
      </c>
      <c r="G20" s="21">
        <v>425</v>
      </c>
      <c r="H20" s="21">
        <f>521-425</f>
        <v>96</v>
      </c>
      <c r="I20" s="22">
        <f>96/521</f>
        <v>0.18426103646833014</v>
      </c>
      <c r="J20" s="31">
        <v>24</v>
      </c>
      <c r="K20" s="33">
        <v>10</v>
      </c>
      <c r="L20" s="32">
        <f>34/2</f>
        <v>17</v>
      </c>
      <c r="M20" s="23">
        <v>18</v>
      </c>
    </row>
    <row r="21" spans="1:13" s="8" customFormat="1">
      <c r="A21" s="15" t="s">
        <v>35</v>
      </c>
      <c r="B21" s="8" t="s">
        <v>0</v>
      </c>
      <c r="C21" s="21">
        <v>18</v>
      </c>
      <c r="D21" s="21">
        <v>8</v>
      </c>
      <c r="E21" s="21">
        <v>10</v>
      </c>
      <c r="F21" s="22">
        <f>10/18</f>
        <v>0.55555555555555558</v>
      </c>
      <c r="G21" s="21">
        <v>6</v>
      </c>
      <c r="H21" s="21">
        <v>4</v>
      </c>
      <c r="I21" s="22">
        <f>4/10</f>
        <v>0.4</v>
      </c>
      <c r="J21" s="31">
        <v>11</v>
      </c>
      <c r="K21" s="33">
        <v>2</v>
      </c>
      <c r="L21" s="32">
        <f>13/2</f>
        <v>6.5</v>
      </c>
      <c r="M21" s="23">
        <v>3</v>
      </c>
    </row>
    <row r="22" spans="1:13" s="8" customFormat="1">
      <c r="A22" s="15" t="s">
        <v>36</v>
      </c>
      <c r="B22" s="8" t="s">
        <v>27</v>
      </c>
      <c r="C22" s="21">
        <v>73</v>
      </c>
      <c r="D22" s="21">
        <v>27</v>
      </c>
      <c r="E22" s="21">
        <v>46</v>
      </c>
      <c r="F22" s="22">
        <f>46/73</f>
        <v>0.63013698630136983</v>
      </c>
      <c r="G22" s="21">
        <v>30</v>
      </c>
      <c r="H22" s="21">
        <v>16</v>
      </c>
      <c r="I22" s="22">
        <f>16/46</f>
        <v>0.34782608695652173</v>
      </c>
      <c r="J22" s="31">
        <v>7</v>
      </c>
      <c r="K22" s="33">
        <v>4</v>
      </c>
      <c r="L22" s="32">
        <f>11/2</f>
        <v>5.5</v>
      </c>
      <c r="M22" s="23">
        <v>2</v>
      </c>
    </row>
    <row r="23" spans="1:13" s="8" customFormat="1">
      <c r="A23" s="15" t="s">
        <v>37</v>
      </c>
      <c r="B23" s="8" t="s">
        <v>1</v>
      </c>
      <c r="C23" s="21">
        <v>62</v>
      </c>
      <c r="D23" s="21">
        <v>31</v>
      </c>
      <c r="E23" s="21">
        <v>31</v>
      </c>
      <c r="F23" s="22">
        <f>31/62</f>
        <v>0.5</v>
      </c>
      <c r="G23" s="21">
        <v>31</v>
      </c>
      <c r="H23" s="21">
        <v>0</v>
      </c>
      <c r="I23" s="22">
        <v>0</v>
      </c>
      <c r="J23" s="31">
        <v>12</v>
      </c>
      <c r="K23" s="33">
        <v>22</v>
      </c>
      <c r="L23" s="32">
        <f>34/2</f>
        <v>17</v>
      </c>
      <c r="M23" s="23">
        <v>18</v>
      </c>
    </row>
    <row r="24" spans="1:13" s="8" customFormat="1">
      <c r="A24" s="15" t="s">
        <v>38</v>
      </c>
      <c r="B24" s="8" t="s">
        <v>10</v>
      </c>
      <c r="C24" s="21">
        <v>15</v>
      </c>
      <c r="D24" s="21">
        <v>6</v>
      </c>
      <c r="E24" s="21">
        <v>9</v>
      </c>
      <c r="F24" s="22">
        <f>9/15</f>
        <v>0.6</v>
      </c>
      <c r="G24" s="21">
        <v>8</v>
      </c>
      <c r="H24" s="21">
        <v>1</v>
      </c>
      <c r="I24" s="22">
        <f>1/9</f>
        <v>0.1111111111111111</v>
      </c>
      <c r="J24" s="31">
        <v>9</v>
      </c>
      <c r="K24" s="33">
        <v>17</v>
      </c>
      <c r="L24" s="32">
        <f>26/2</f>
        <v>13</v>
      </c>
      <c r="M24" s="23">
        <v>15</v>
      </c>
    </row>
    <row r="25" spans="1:13" s="8" customFormat="1">
      <c r="A25" s="15" t="s">
        <v>39</v>
      </c>
      <c r="B25" s="8" t="s">
        <v>28</v>
      </c>
      <c r="C25" s="21">
        <v>1</v>
      </c>
      <c r="D25" s="21">
        <v>0</v>
      </c>
      <c r="E25" s="21">
        <v>1</v>
      </c>
      <c r="F25" s="22">
        <v>1</v>
      </c>
      <c r="G25" s="21">
        <v>0</v>
      </c>
      <c r="H25" s="21">
        <v>0</v>
      </c>
      <c r="I25" s="22">
        <v>0</v>
      </c>
      <c r="J25" s="31">
        <v>1</v>
      </c>
      <c r="K25" s="33">
        <v>22</v>
      </c>
      <c r="L25" s="32">
        <f>23/2</f>
        <v>11.5</v>
      </c>
      <c r="M25" s="23">
        <v>8</v>
      </c>
    </row>
    <row r="26" spans="1:13" s="8" customFormat="1">
      <c r="A26" s="15" t="s">
        <v>40</v>
      </c>
      <c r="B26" s="8" t="s">
        <v>29</v>
      </c>
      <c r="C26" s="21">
        <v>8</v>
      </c>
      <c r="D26" s="21">
        <v>5</v>
      </c>
      <c r="E26" s="21">
        <v>3</v>
      </c>
      <c r="F26" s="22">
        <f>3/8</f>
        <v>0.375</v>
      </c>
      <c r="G26" s="21">
        <v>3</v>
      </c>
      <c r="H26" s="21">
        <v>0</v>
      </c>
      <c r="I26" s="22">
        <v>0</v>
      </c>
      <c r="J26" s="31">
        <v>17</v>
      </c>
      <c r="K26" s="33">
        <v>22</v>
      </c>
      <c r="L26" s="32">
        <f>39/2</f>
        <v>19.5</v>
      </c>
      <c r="M26" s="23">
        <v>24</v>
      </c>
    </row>
    <row r="27" spans="1:13" s="8" customFormat="1">
      <c r="A27" s="15" t="s">
        <v>41</v>
      </c>
      <c r="B27" s="8" t="s">
        <v>30</v>
      </c>
      <c r="C27" s="21">
        <v>104</v>
      </c>
      <c r="D27" s="21">
        <v>9</v>
      </c>
      <c r="E27" s="21">
        <v>95</v>
      </c>
      <c r="F27" s="22">
        <f>95/104</f>
        <v>0.91346153846153844</v>
      </c>
      <c r="G27" s="21">
        <v>95</v>
      </c>
      <c r="H27" s="21">
        <v>0</v>
      </c>
      <c r="I27" s="22">
        <v>0</v>
      </c>
      <c r="J27" s="31">
        <v>2</v>
      </c>
      <c r="K27" s="33">
        <v>22</v>
      </c>
      <c r="L27" s="32">
        <f>24/2</f>
        <v>12</v>
      </c>
      <c r="M27" s="23">
        <v>10</v>
      </c>
    </row>
    <row r="28" spans="1:13" s="8" customFormat="1">
      <c r="A28" s="15" t="s">
        <v>42</v>
      </c>
      <c r="B28" s="8" t="s">
        <v>2</v>
      </c>
      <c r="C28" s="21">
        <v>1</v>
      </c>
      <c r="D28" s="21">
        <v>1</v>
      </c>
      <c r="E28" s="21">
        <v>0</v>
      </c>
      <c r="F28" s="22">
        <f>0</f>
        <v>0</v>
      </c>
      <c r="G28" s="21">
        <v>1</v>
      </c>
      <c r="H28" s="21">
        <v>0</v>
      </c>
      <c r="I28" s="22">
        <v>0</v>
      </c>
      <c r="J28" s="31">
        <v>27</v>
      </c>
      <c r="K28" s="33">
        <v>22</v>
      </c>
      <c r="L28" s="32">
        <f>49/2</f>
        <v>24.5</v>
      </c>
      <c r="M28" s="23">
        <v>27</v>
      </c>
    </row>
    <row r="29" spans="1:13" s="8" customFormat="1">
      <c r="A29" s="15" t="s">
        <v>43</v>
      </c>
      <c r="B29" s="8" t="s">
        <v>31</v>
      </c>
      <c r="C29" s="21">
        <v>51</v>
      </c>
      <c r="D29" s="21">
        <v>20</v>
      </c>
      <c r="E29" s="21">
        <v>31</v>
      </c>
      <c r="F29" s="22">
        <f>31/51</f>
        <v>0.60784313725490191</v>
      </c>
      <c r="G29" s="21">
        <v>27</v>
      </c>
      <c r="H29" s="21">
        <v>4</v>
      </c>
      <c r="I29" s="22">
        <f>4/31</f>
        <v>0.12903225806451613</v>
      </c>
      <c r="J29" s="31">
        <v>8</v>
      </c>
      <c r="K29" s="33">
        <v>16</v>
      </c>
      <c r="L29" s="32">
        <f>24/2</f>
        <v>12</v>
      </c>
      <c r="M29" s="23">
        <v>10</v>
      </c>
    </row>
    <row r="30" spans="1:13" s="8" customFormat="1">
      <c r="A30" s="15" t="s">
        <v>50</v>
      </c>
      <c r="B30" s="8" t="s">
        <v>32</v>
      </c>
      <c r="C30" s="21">
        <v>12</v>
      </c>
      <c r="D30" s="21">
        <v>7</v>
      </c>
      <c r="E30" s="21">
        <v>5</v>
      </c>
      <c r="F30" s="22">
        <f>5/12</f>
        <v>0.41666666666666669</v>
      </c>
      <c r="G30" s="21">
        <v>3</v>
      </c>
      <c r="H30" s="21">
        <v>2</v>
      </c>
      <c r="I30" s="22">
        <f>2/5</f>
        <v>0.4</v>
      </c>
      <c r="J30" s="31">
        <v>14</v>
      </c>
      <c r="K30" s="33">
        <v>2</v>
      </c>
      <c r="L30" s="32">
        <f>17/2</f>
        <v>8.5</v>
      </c>
      <c r="M30" s="23">
        <v>4</v>
      </c>
    </row>
  </sheetData>
  <mergeCells count="1">
    <mergeCell ref="A1:M1"/>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BFA0C-2470-44B2-AA68-D76E9BF83973}">
  <dimension ref="A1:AK40"/>
  <sheetViews>
    <sheetView zoomScaleNormal="100" workbookViewId="0">
      <selection sqref="A1:M1"/>
    </sheetView>
  </sheetViews>
  <sheetFormatPr defaultRowHeight="14.4"/>
  <cols>
    <col min="1" max="1" width="19" style="1" customWidth="1"/>
    <col min="2" max="2" width="44.77734375" style="1" customWidth="1"/>
    <col min="3" max="3" width="16.88671875" style="4" customWidth="1"/>
    <col min="4" max="4" width="18.5546875" style="4" customWidth="1"/>
    <col min="5" max="5" width="19.6640625" style="4" customWidth="1"/>
    <col min="6" max="6" width="18" style="7" customWidth="1"/>
    <col min="7" max="7" width="14" style="4" customWidth="1"/>
    <col min="8" max="8" width="15.21875" style="4" customWidth="1"/>
    <col min="9" max="9" width="15.109375" style="2" customWidth="1"/>
    <col min="10" max="10" width="17.21875" style="1" customWidth="1"/>
    <col min="11" max="11" width="17.5546875" customWidth="1"/>
    <col min="12" max="12" width="17.77734375" style="20" customWidth="1"/>
    <col min="13" max="13" width="18.77734375" style="36" customWidth="1"/>
  </cols>
  <sheetData>
    <row r="1" spans="1:37" ht="18.600000000000001" customHeight="1">
      <c r="A1" s="131" t="s">
        <v>224</v>
      </c>
      <c r="B1" s="132"/>
      <c r="C1" s="132"/>
      <c r="D1" s="132"/>
      <c r="E1" s="132"/>
      <c r="F1" s="132"/>
      <c r="G1" s="132"/>
      <c r="H1" s="132"/>
      <c r="I1" s="132"/>
      <c r="J1" s="132"/>
      <c r="K1" s="132"/>
      <c r="L1" s="132"/>
      <c r="M1" s="132"/>
      <c r="N1" s="4"/>
      <c r="O1" s="4"/>
      <c r="P1" s="2"/>
      <c r="Q1" s="1"/>
      <c r="S1" s="20"/>
      <c r="T1" s="36"/>
    </row>
    <row r="2" spans="1:37" ht="115.8" customHeight="1">
      <c r="A2" s="9" t="s">
        <v>5</v>
      </c>
      <c r="B2" s="9" t="s">
        <v>4</v>
      </c>
      <c r="C2" s="10" t="s">
        <v>44</v>
      </c>
      <c r="D2" s="10" t="s">
        <v>8</v>
      </c>
      <c r="E2" s="10" t="s">
        <v>9</v>
      </c>
      <c r="F2" s="11" t="s">
        <v>45</v>
      </c>
      <c r="G2" s="10" t="s">
        <v>6</v>
      </c>
      <c r="H2" s="9" t="s">
        <v>7</v>
      </c>
      <c r="I2" s="11" t="s">
        <v>46</v>
      </c>
      <c r="J2" s="10" t="s">
        <v>47</v>
      </c>
      <c r="K2" s="10" t="s">
        <v>49</v>
      </c>
      <c r="L2" s="12" t="s">
        <v>54</v>
      </c>
      <c r="M2" s="10" t="s">
        <v>57</v>
      </c>
    </row>
    <row r="3" spans="1:37" s="5" customFormat="1">
      <c r="A3" s="15">
        <v>2</v>
      </c>
      <c r="B3" s="8" t="s">
        <v>13</v>
      </c>
      <c r="C3" s="17">
        <v>1494</v>
      </c>
      <c r="D3" s="17">
        <v>538</v>
      </c>
      <c r="E3" s="17">
        <v>956</v>
      </c>
      <c r="F3" s="13">
        <f>926/1459</f>
        <v>0.63468128855380401</v>
      </c>
      <c r="G3" s="19">
        <v>628</v>
      </c>
      <c r="H3" s="19">
        <f>956-628</f>
        <v>328</v>
      </c>
      <c r="I3" s="13">
        <f>328/956</f>
        <v>0.34309623430962344</v>
      </c>
      <c r="J3" s="27">
        <v>10</v>
      </c>
      <c r="K3" s="25">
        <v>3</v>
      </c>
      <c r="L3" s="29">
        <f>13/2</f>
        <v>6.5</v>
      </c>
      <c r="M3" s="14">
        <v>2</v>
      </c>
    </row>
    <row r="4" spans="1:37" s="5" customFormat="1">
      <c r="A4" s="15">
        <v>3</v>
      </c>
      <c r="B4" s="8" t="s">
        <v>14</v>
      </c>
      <c r="C4" s="17">
        <v>6883</v>
      </c>
      <c r="D4" s="17">
        <v>4127</v>
      </c>
      <c r="E4" s="17">
        <v>2756</v>
      </c>
      <c r="F4" s="13">
        <f>2756/6883</f>
        <v>0.40040679936074386</v>
      </c>
      <c r="G4" s="19">
        <v>2080</v>
      </c>
      <c r="H4" s="19">
        <f>2756-2080</f>
        <v>676</v>
      </c>
      <c r="I4" s="13">
        <f>676/2756</f>
        <v>0.24528301886792453</v>
      </c>
      <c r="J4" s="27">
        <v>22</v>
      </c>
      <c r="K4" s="25">
        <v>6</v>
      </c>
      <c r="L4" s="29">
        <f>28/2</f>
        <v>14</v>
      </c>
      <c r="M4" s="14">
        <v>18</v>
      </c>
    </row>
    <row r="5" spans="1:37" s="5" customFormat="1">
      <c r="A5" s="15">
        <v>4</v>
      </c>
      <c r="B5" s="8" t="s">
        <v>15</v>
      </c>
      <c r="C5" s="17">
        <v>1674</v>
      </c>
      <c r="D5" s="17">
        <v>993</v>
      </c>
      <c r="E5" s="17">
        <v>681</v>
      </c>
      <c r="F5" s="13">
        <f>681/1674</f>
        <v>0.40681003584229392</v>
      </c>
      <c r="G5" s="19">
        <v>576</v>
      </c>
      <c r="H5" s="19">
        <f>681-576</f>
        <v>105</v>
      </c>
      <c r="I5" s="13">
        <f>105/681</f>
        <v>0.15418502202643172</v>
      </c>
      <c r="J5" s="27">
        <v>21</v>
      </c>
      <c r="K5" s="25">
        <v>14</v>
      </c>
      <c r="L5" s="29">
        <f>35/2</f>
        <v>17.5</v>
      </c>
      <c r="M5" s="14">
        <v>21</v>
      </c>
    </row>
    <row r="6" spans="1:37" s="5" customFormat="1">
      <c r="A6" s="15">
        <v>5</v>
      </c>
      <c r="B6" s="8" t="s">
        <v>12</v>
      </c>
      <c r="C6" s="17">
        <v>3414</v>
      </c>
      <c r="D6" s="17">
        <v>1874</v>
      </c>
      <c r="E6" s="17">
        <v>1540</v>
      </c>
      <c r="F6" s="13">
        <f>1540/3414</f>
        <v>0.45108377270064443</v>
      </c>
      <c r="G6" s="19">
        <v>1239</v>
      </c>
      <c r="H6" s="19">
        <f>1540-1239</f>
        <v>301</v>
      </c>
      <c r="I6" s="13">
        <f>301/1540</f>
        <v>0.19545454545454546</v>
      </c>
      <c r="J6" s="27">
        <v>16</v>
      </c>
      <c r="K6" s="25">
        <v>10</v>
      </c>
      <c r="L6" s="29">
        <f>26/2</f>
        <v>13</v>
      </c>
      <c r="M6" s="14">
        <v>12</v>
      </c>
    </row>
    <row r="7" spans="1:37" s="5" customFormat="1">
      <c r="A7" s="15">
        <v>6</v>
      </c>
      <c r="B7" s="8" t="s">
        <v>16</v>
      </c>
      <c r="C7" s="17">
        <v>11146</v>
      </c>
      <c r="D7" s="17">
        <v>8957</v>
      </c>
      <c r="E7" s="17">
        <v>2189</v>
      </c>
      <c r="F7" s="13">
        <f>2189/11146</f>
        <v>0.19639332495962677</v>
      </c>
      <c r="G7" s="19">
        <v>1815</v>
      </c>
      <c r="H7" s="19">
        <f>2189-1815</f>
        <v>374</v>
      </c>
      <c r="I7" s="13">
        <f>374/2189</f>
        <v>0.17085427135678391</v>
      </c>
      <c r="J7" s="27">
        <v>26</v>
      </c>
      <c r="K7" s="25">
        <v>12</v>
      </c>
      <c r="L7" s="29">
        <f>38/2</f>
        <v>19</v>
      </c>
      <c r="M7" s="14">
        <v>23</v>
      </c>
    </row>
    <row r="8" spans="1:37" s="5" customFormat="1">
      <c r="A8" s="15">
        <v>7</v>
      </c>
      <c r="B8" s="8" t="s">
        <v>11</v>
      </c>
      <c r="C8" s="17">
        <v>340</v>
      </c>
      <c r="D8" s="17">
        <v>70</v>
      </c>
      <c r="E8" s="17">
        <v>270</v>
      </c>
      <c r="F8" s="13">
        <f>270/340</f>
        <v>0.79411764705882348</v>
      </c>
      <c r="G8" s="19">
        <v>261</v>
      </c>
      <c r="H8" s="19">
        <f>270-261</f>
        <v>9</v>
      </c>
      <c r="I8" s="13">
        <f>9/270</f>
        <v>3.3333333333333333E-2</v>
      </c>
      <c r="J8" s="27">
        <v>5</v>
      </c>
      <c r="K8" s="25">
        <v>22</v>
      </c>
      <c r="L8" s="29">
        <f>27/2</f>
        <v>13.5</v>
      </c>
      <c r="M8" s="14">
        <v>15</v>
      </c>
    </row>
    <row r="9" spans="1:37" s="5" customFormat="1">
      <c r="A9" s="15">
        <v>8</v>
      </c>
      <c r="B9" s="8" t="s">
        <v>17</v>
      </c>
      <c r="C9" s="17">
        <v>1823</v>
      </c>
      <c r="D9" s="17">
        <v>974</v>
      </c>
      <c r="E9" s="17">
        <v>849</v>
      </c>
      <c r="F9" s="13">
        <f>849/1823</f>
        <v>0.46571585298957763</v>
      </c>
      <c r="G9" s="19">
        <v>733</v>
      </c>
      <c r="H9" s="19">
        <f>849-733</f>
        <v>116</v>
      </c>
      <c r="I9" s="13">
        <f>116/849</f>
        <v>0.13663133097762073</v>
      </c>
      <c r="J9" s="27">
        <v>15</v>
      </c>
      <c r="K9" s="25">
        <v>15</v>
      </c>
      <c r="L9" s="29">
        <f>31/2</f>
        <v>15.5</v>
      </c>
      <c r="M9" s="14">
        <v>19</v>
      </c>
    </row>
    <row r="10" spans="1:37" s="5" customFormat="1">
      <c r="A10" s="15">
        <v>9</v>
      </c>
      <c r="B10" s="8" t="s">
        <v>18</v>
      </c>
      <c r="C10" s="17">
        <v>93</v>
      </c>
      <c r="D10" s="17">
        <v>52</v>
      </c>
      <c r="E10" s="17">
        <v>41</v>
      </c>
      <c r="F10" s="13">
        <f>41/93</f>
        <v>0.44086021505376344</v>
      </c>
      <c r="G10" s="19">
        <v>32</v>
      </c>
      <c r="H10" s="19">
        <f>41-32</f>
        <v>9</v>
      </c>
      <c r="I10" s="13">
        <f>9/41</f>
        <v>0.21951219512195122</v>
      </c>
      <c r="J10" s="27">
        <v>17</v>
      </c>
      <c r="K10" s="25">
        <v>9</v>
      </c>
      <c r="L10" s="29">
        <f>27/2</f>
        <v>13.5</v>
      </c>
      <c r="M10" s="14">
        <v>15</v>
      </c>
    </row>
    <row r="11" spans="1:37" s="5" customFormat="1">
      <c r="A11" s="15">
        <v>10</v>
      </c>
      <c r="B11" s="8" t="s">
        <v>19</v>
      </c>
      <c r="C11" s="17">
        <v>1063</v>
      </c>
      <c r="D11" s="17">
        <v>628</v>
      </c>
      <c r="E11" s="17">
        <v>435</v>
      </c>
      <c r="F11" s="13">
        <f>435/1063</f>
        <v>0.40921919096895576</v>
      </c>
      <c r="G11" s="17">
        <v>397</v>
      </c>
      <c r="H11" s="19">
        <f>435-397</f>
        <v>38</v>
      </c>
      <c r="I11" s="13">
        <f>38/435</f>
        <v>8.7356321839080459E-2</v>
      </c>
      <c r="J11" s="27">
        <v>20</v>
      </c>
      <c r="K11" s="25">
        <v>19</v>
      </c>
      <c r="L11" s="29">
        <f>39/2</f>
        <v>19.5</v>
      </c>
      <c r="M11" s="14">
        <v>24</v>
      </c>
    </row>
    <row r="12" spans="1:37" s="5" customFormat="1">
      <c r="A12" s="15">
        <v>11</v>
      </c>
      <c r="B12" s="8" t="s">
        <v>20</v>
      </c>
      <c r="C12" s="17">
        <v>685</v>
      </c>
      <c r="D12" s="17">
        <v>175</v>
      </c>
      <c r="E12" s="17">
        <v>510</v>
      </c>
      <c r="F12" s="13">
        <f>510/685</f>
        <v>0.74452554744525545</v>
      </c>
      <c r="G12" s="17">
        <v>480</v>
      </c>
      <c r="H12" s="19">
        <f>510-480</f>
        <v>30</v>
      </c>
      <c r="I12" s="13">
        <f>30/510</f>
        <v>5.8823529411764705E-2</v>
      </c>
      <c r="J12" s="27">
        <v>6</v>
      </c>
      <c r="K12" s="25">
        <v>20</v>
      </c>
      <c r="L12" s="29">
        <f>26/2</f>
        <v>13</v>
      </c>
      <c r="M12" s="14">
        <v>12</v>
      </c>
    </row>
    <row r="13" spans="1:37" s="6" customFormat="1">
      <c r="A13" s="15">
        <v>12</v>
      </c>
      <c r="B13" s="8" t="s">
        <v>3</v>
      </c>
      <c r="C13" s="17">
        <v>6</v>
      </c>
      <c r="D13" s="17">
        <v>4</v>
      </c>
      <c r="E13" s="17">
        <v>2</v>
      </c>
      <c r="F13" s="13">
        <f>2/6</f>
        <v>0.33333333333333331</v>
      </c>
      <c r="G13" s="17">
        <v>2</v>
      </c>
      <c r="H13" s="17">
        <v>0</v>
      </c>
      <c r="I13" s="13">
        <v>0</v>
      </c>
      <c r="J13" s="27">
        <v>24</v>
      </c>
      <c r="K13" s="25">
        <v>24</v>
      </c>
      <c r="L13" s="29">
        <f>48/2</f>
        <v>24</v>
      </c>
      <c r="M13" s="14">
        <v>26</v>
      </c>
      <c r="N13" s="5"/>
      <c r="O13" s="5"/>
      <c r="P13" s="5"/>
      <c r="Q13" s="5"/>
      <c r="R13" s="5"/>
      <c r="S13" s="5"/>
      <c r="T13" s="5"/>
      <c r="U13" s="5"/>
      <c r="V13" s="5"/>
      <c r="W13" s="5"/>
      <c r="X13" s="5"/>
      <c r="Y13" s="5"/>
      <c r="Z13" s="5"/>
      <c r="AA13" s="5"/>
      <c r="AB13" s="5"/>
      <c r="AC13" s="5"/>
      <c r="AD13" s="5"/>
      <c r="AE13" s="5"/>
      <c r="AF13" s="5"/>
      <c r="AG13" s="5"/>
      <c r="AH13" s="5"/>
      <c r="AI13" s="5"/>
      <c r="AJ13" s="5"/>
      <c r="AK13" s="5"/>
    </row>
    <row r="14" spans="1:37" s="5" customFormat="1">
      <c r="A14" s="15">
        <v>13</v>
      </c>
      <c r="B14" s="8" t="s">
        <v>21</v>
      </c>
      <c r="C14" s="17">
        <v>3002</v>
      </c>
      <c r="D14" s="17">
        <v>1731</v>
      </c>
      <c r="E14" s="17">
        <v>1271</v>
      </c>
      <c r="F14" s="13">
        <f>1271/3002</f>
        <v>0.42338441039307129</v>
      </c>
      <c r="G14" s="19">
        <v>966</v>
      </c>
      <c r="H14" s="19">
        <f>1271-966</f>
        <v>305</v>
      </c>
      <c r="I14" s="13">
        <f>305/1271</f>
        <v>0.23996852871754523</v>
      </c>
      <c r="J14" s="27">
        <v>18</v>
      </c>
      <c r="K14" s="25">
        <v>7</v>
      </c>
      <c r="L14" s="29">
        <f>25/2</f>
        <v>12.5</v>
      </c>
      <c r="M14" s="14">
        <v>8</v>
      </c>
    </row>
    <row r="15" spans="1:37" s="5" customFormat="1">
      <c r="A15" s="15">
        <v>14</v>
      </c>
      <c r="B15" s="8" t="s">
        <v>33</v>
      </c>
      <c r="C15" s="17">
        <v>284</v>
      </c>
      <c r="D15" s="17">
        <v>172</v>
      </c>
      <c r="E15" s="17">
        <v>112</v>
      </c>
      <c r="F15" s="13">
        <f>112/284</f>
        <v>0.39436619718309857</v>
      </c>
      <c r="G15" s="19">
        <v>100</v>
      </c>
      <c r="H15" s="19">
        <v>12</v>
      </c>
      <c r="I15" s="13">
        <f>12/112</f>
        <v>0.10714285714285714</v>
      </c>
      <c r="J15" s="27">
        <v>23</v>
      </c>
      <c r="K15" s="25">
        <v>16</v>
      </c>
      <c r="L15" s="29">
        <f>39/2</f>
        <v>19.5</v>
      </c>
      <c r="M15" s="14">
        <v>24</v>
      </c>
    </row>
    <row r="16" spans="1:37" s="5" customFormat="1">
      <c r="A16" s="15">
        <v>18</v>
      </c>
      <c r="B16" s="8" t="s">
        <v>22</v>
      </c>
      <c r="C16" s="17">
        <v>21</v>
      </c>
      <c r="D16" s="17">
        <v>4</v>
      </c>
      <c r="E16" s="17">
        <v>17</v>
      </c>
      <c r="F16" s="13">
        <f>17/21</f>
        <v>0.80952380952380953</v>
      </c>
      <c r="G16" s="19">
        <v>16</v>
      </c>
      <c r="H16" s="19">
        <v>1</v>
      </c>
      <c r="I16" s="13">
        <f>1/17</f>
        <v>5.8823529411764705E-2</v>
      </c>
      <c r="J16" s="27">
        <v>4</v>
      </c>
      <c r="K16" s="25">
        <v>20</v>
      </c>
      <c r="L16" s="29">
        <f>24/2</f>
        <v>12</v>
      </c>
      <c r="M16" s="14">
        <v>7</v>
      </c>
    </row>
    <row r="17" spans="1:13" s="5" customFormat="1">
      <c r="A17" s="15">
        <v>34</v>
      </c>
      <c r="B17" s="8" t="s">
        <v>23</v>
      </c>
      <c r="C17" s="17">
        <v>168</v>
      </c>
      <c r="D17" s="17">
        <v>78</v>
      </c>
      <c r="E17" s="17">
        <v>90</v>
      </c>
      <c r="F17" s="13">
        <f>90/168</f>
        <v>0.5357142857142857</v>
      </c>
      <c r="G17" s="19">
        <v>67</v>
      </c>
      <c r="H17" s="19">
        <f>90-67</f>
        <v>23</v>
      </c>
      <c r="I17" s="13">
        <f>23/90</f>
        <v>0.25555555555555554</v>
      </c>
      <c r="J17" s="27">
        <v>13</v>
      </c>
      <c r="K17" s="25">
        <v>5</v>
      </c>
      <c r="L17" s="29">
        <f>18/2</f>
        <v>9</v>
      </c>
      <c r="M17" s="14">
        <v>4</v>
      </c>
    </row>
    <row r="18" spans="1:13" s="5" customFormat="1">
      <c r="A18" s="15">
        <v>38</v>
      </c>
      <c r="B18" s="8" t="s">
        <v>24</v>
      </c>
      <c r="C18" s="17">
        <v>37</v>
      </c>
      <c r="D18" s="17">
        <v>6</v>
      </c>
      <c r="E18" s="17">
        <v>31</v>
      </c>
      <c r="F18" s="13">
        <f>30/36</f>
        <v>0.83333333333333337</v>
      </c>
      <c r="G18" s="19">
        <v>14</v>
      </c>
      <c r="H18" s="19">
        <v>17</v>
      </c>
      <c r="I18" s="13">
        <f>17/31</f>
        <v>0.54838709677419351</v>
      </c>
      <c r="J18" s="27">
        <v>3</v>
      </c>
      <c r="K18" s="25">
        <v>1</v>
      </c>
      <c r="L18" s="29">
        <f>4/2</f>
        <v>2</v>
      </c>
      <c r="M18" s="14">
        <v>1</v>
      </c>
    </row>
    <row r="19" spans="1:13" s="5" customFormat="1">
      <c r="A19" s="15">
        <v>46</v>
      </c>
      <c r="B19" s="8" t="s">
        <v>25</v>
      </c>
      <c r="C19" s="17">
        <v>1</v>
      </c>
      <c r="D19" s="17">
        <v>1</v>
      </c>
      <c r="E19" s="17">
        <v>0</v>
      </c>
      <c r="F19" s="13">
        <f>0</f>
        <v>0</v>
      </c>
      <c r="G19" s="19">
        <v>0</v>
      </c>
      <c r="H19" s="19">
        <v>0</v>
      </c>
      <c r="I19" s="13">
        <v>0</v>
      </c>
      <c r="J19" s="27">
        <v>27</v>
      </c>
      <c r="K19" s="25">
        <v>24</v>
      </c>
      <c r="L19" s="29">
        <f>51/2</f>
        <v>25.5</v>
      </c>
      <c r="M19" s="14">
        <v>27</v>
      </c>
    </row>
    <row r="20" spans="1:13" s="5" customFormat="1">
      <c r="A20" s="15" t="s">
        <v>34</v>
      </c>
      <c r="B20" s="8" t="s">
        <v>26</v>
      </c>
      <c r="C20" s="17">
        <v>1985</v>
      </c>
      <c r="D20" s="17">
        <v>1361</v>
      </c>
      <c r="E20" s="17">
        <v>624</v>
      </c>
      <c r="F20" s="13">
        <f>624/1985</f>
        <v>0.31435768261964736</v>
      </c>
      <c r="G20" s="19">
        <v>515</v>
      </c>
      <c r="H20" s="19">
        <f>624-515</f>
        <v>109</v>
      </c>
      <c r="I20" s="13">
        <f>109/624</f>
        <v>0.17467948717948717</v>
      </c>
      <c r="J20" s="27">
        <v>25</v>
      </c>
      <c r="K20" s="25">
        <v>11</v>
      </c>
      <c r="L20" s="29">
        <f>37/2</f>
        <v>18.5</v>
      </c>
      <c r="M20" s="14">
        <v>22</v>
      </c>
    </row>
    <row r="21" spans="1:13" s="5" customFormat="1">
      <c r="A21" s="15" t="s">
        <v>35</v>
      </c>
      <c r="B21" s="8" t="s">
        <v>0</v>
      </c>
      <c r="C21" s="17">
        <v>18</v>
      </c>
      <c r="D21" s="17">
        <v>9</v>
      </c>
      <c r="E21" s="17">
        <v>9</v>
      </c>
      <c r="F21" s="13">
        <f>9/18</f>
        <v>0.5</v>
      </c>
      <c r="G21" s="19">
        <v>6</v>
      </c>
      <c r="H21" s="19">
        <v>3</v>
      </c>
      <c r="I21" s="13">
        <f>3/9</f>
        <v>0.33333333333333331</v>
      </c>
      <c r="J21" s="27">
        <v>14</v>
      </c>
      <c r="K21" s="25">
        <v>4</v>
      </c>
      <c r="L21" s="29">
        <f>18/2</f>
        <v>9</v>
      </c>
      <c r="M21" s="14">
        <v>4</v>
      </c>
    </row>
    <row r="22" spans="1:13" s="5" customFormat="1">
      <c r="A22" s="15" t="s">
        <v>36</v>
      </c>
      <c r="B22" s="8" t="s">
        <v>27</v>
      </c>
      <c r="C22" s="17">
        <v>86</v>
      </c>
      <c r="D22" s="17">
        <v>27</v>
      </c>
      <c r="E22" s="17">
        <v>59</v>
      </c>
      <c r="F22" s="13">
        <f>59/86</f>
        <v>0.68604651162790697</v>
      </c>
      <c r="G22" s="19">
        <v>45</v>
      </c>
      <c r="H22" s="19">
        <v>14</v>
      </c>
      <c r="I22" s="13">
        <f>14/59</f>
        <v>0.23728813559322035</v>
      </c>
      <c r="J22" s="27">
        <v>8</v>
      </c>
      <c r="K22" s="25">
        <v>8</v>
      </c>
      <c r="L22" s="29">
        <v>8</v>
      </c>
      <c r="M22" s="14">
        <v>3</v>
      </c>
    </row>
    <row r="23" spans="1:13" s="5" customFormat="1">
      <c r="A23" s="15" t="s">
        <v>37</v>
      </c>
      <c r="B23" s="8" t="s">
        <v>1</v>
      </c>
      <c r="C23" s="17">
        <v>71</v>
      </c>
      <c r="D23" s="17">
        <v>31</v>
      </c>
      <c r="E23" s="17">
        <v>40</v>
      </c>
      <c r="F23" s="13">
        <f>40/71</f>
        <v>0.56338028169014087</v>
      </c>
      <c r="G23" s="19">
        <v>39</v>
      </c>
      <c r="H23" s="19">
        <v>1</v>
      </c>
      <c r="I23" s="13">
        <f>1/40</f>
        <v>2.5000000000000001E-2</v>
      </c>
      <c r="J23" s="27">
        <v>11</v>
      </c>
      <c r="K23" s="25">
        <v>23</v>
      </c>
      <c r="L23" s="29">
        <f>34/2</f>
        <v>17</v>
      </c>
      <c r="M23" s="14">
        <v>20</v>
      </c>
    </row>
    <row r="24" spans="1:13" s="5" customFormat="1">
      <c r="A24" s="15" t="s">
        <v>38</v>
      </c>
      <c r="B24" s="8" t="s">
        <v>10</v>
      </c>
      <c r="C24" s="17">
        <v>17</v>
      </c>
      <c r="D24" s="17">
        <v>6</v>
      </c>
      <c r="E24" s="17">
        <v>11</v>
      </c>
      <c r="F24" s="13">
        <f>11/17</f>
        <v>0.6470588235294118</v>
      </c>
      <c r="G24" s="19">
        <v>10</v>
      </c>
      <c r="H24" s="19">
        <v>1</v>
      </c>
      <c r="I24" s="13">
        <f>1/11</f>
        <v>9.0909090909090912E-2</v>
      </c>
      <c r="J24" s="27">
        <v>9</v>
      </c>
      <c r="K24" s="25">
        <v>17</v>
      </c>
      <c r="L24" s="29">
        <f>27/2</f>
        <v>13.5</v>
      </c>
      <c r="M24" s="14">
        <v>15</v>
      </c>
    </row>
    <row r="25" spans="1:13" s="5" customFormat="1">
      <c r="A25" s="15" t="s">
        <v>39</v>
      </c>
      <c r="B25" s="8" t="s">
        <v>28</v>
      </c>
      <c r="C25" s="17">
        <v>1</v>
      </c>
      <c r="D25" s="17">
        <v>0</v>
      </c>
      <c r="E25" s="17">
        <v>1</v>
      </c>
      <c r="F25" s="37">
        <v>1</v>
      </c>
      <c r="G25" s="19">
        <v>1</v>
      </c>
      <c r="H25" s="19">
        <v>0</v>
      </c>
      <c r="I25" s="13">
        <v>0</v>
      </c>
      <c r="J25" s="28">
        <v>1</v>
      </c>
      <c r="K25" s="26">
        <v>24</v>
      </c>
      <c r="L25" s="30">
        <f>25/2</f>
        <v>12.5</v>
      </c>
      <c r="M25" s="16">
        <v>8</v>
      </c>
    </row>
    <row r="26" spans="1:13" s="5" customFormat="1">
      <c r="A26" s="15" t="s">
        <v>40</v>
      </c>
      <c r="B26" s="8" t="s">
        <v>29</v>
      </c>
      <c r="C26" s="17">
        <v>11</v>
      </c>
      <c r="D26" s="17">
        <v>5</v>
      </c>
      <c r="E26" s="17">
        <v>6</v>
      </c>
      <c r="F26" s="13">
        <f>6/11</f>
        <v>0.54545454545454541</v>
      </c>
      <c r="G26" s="19">
        <v>5</v>
      </c>
      <c r="H26" s="19">
        <v>1</v>
      </c>
      <c r="I26" s="13">
        <f>1/6</f>
        <v>0.16666666666666666</v>
      </c>
      <c r="J26" s="27">
        <v>12</v>
      </c>
      <c r="K26" s="25">
        <v>13</v>
      </c>
      <c r="L26" s="29">
        <f>25/2</f>
        <v>12.5</v>
      </c>
      <c r="M26" s="14">
        <v>8</v>
      </c>
    </row>
    <row r="27" spans="1:13" s="5" customFormat="1">
      <c r="A27" s="15" t="s">
        <v>41</v>
      </c>
      <c r="B27" s="8" t="s">
        <v>30</v>
      </c>
      <c r="C27" s="17">
        <v>225</v>
      </c>
      <c r="D27" s="17">
        <v>9</v>
      </c>
      <c r="E27" s="17">
        <v>216</v>
      </c>
      <c r="F27" s="13">
        <f>216/225</f>
        <v>0.96</v>
      </c>
      <c r="G27" s="19">
        <v>216</v>
      </c>
      <c r="H27" s="19">
        <v>0</v>
      </c>
      <c r="I27" s="13">
        <f>0</f>
        <v>0</v>
      </c>
      <c r="J27" s="27">
        <v>2</v>
      </c>
      <c r="K27" s="25">
        <v>24</v>
      </c>
      <c r="L27" s="29">
        <f>26/2</f>
        <v>13</v>
      </c>
      <c r="M27" s="14">
        <v>12</v>
      </c>
    </row>
    <row r="28" spans="1:13" s="5" customFormat="1">
      <c r="A28" s="15" t="s">
        <v>42</v>
      </c>
      <c r="B28" s="8" t="s">
        <v>2</v>
      </c>
      <c r="C28" s="17">
        <v>1</v>
      </c>
      <c r="D28" s="17">
        <v>1</v>
      </c>
      <c r="E28" s="17">
        <v>0</v>
      </c>
      <c r="F28" s="37">
        <v>0</v>
      </c>
      <c r="G28" s="19">
        <v>0</v>
      </c>
      <c r="H28" s="19">
        <v>0</v>
      </c>
      <c r="I28" s="13">
        <v>0</v>
      </c>
      <c r="J28" s="28">
        <v>27</v>
      </c>
      <c r="K28" s="26">
        <v>24</v>
      </c>
      <c r="L28" s="30">
        <f>51/2</f>
        <v>25.5</v>
      </c>
      <c r="M28" s="16">
        <v>27</v>
      </c>
    </row>
    <row r="29" spans="1:13" s="5" customFormat="1">
      <c r="A29" s="15" t="s">
        <v>43</v>
      </c>
      <c r="B29" s="8" t="s">
        <v>31</v>
      </c>
      <c r="C29" s="17">
        <v>78</v>
      </c>
      <c r="D29" s="17">
        <v>21</v>
      </c>
      <c r="E29" s="17">
        <v>57</v>
      </c>
      <c r="F29" s="13">
        <f>57/78</f>
        <v>0.73076923076923073</v>
      </c>
      <c r="G29" s="19">
        <v>52</v>
      </c>
      <c r="H29" s="19">
        <v>5</v>
      </c>
      <c r="I29" s="13">
        <f>5/57</f>
        <v>8.771929824561403E-2</v>
      </c>
      <c r="J29" s="27">
        <v>7</v>
      </c>
      <c r="K29" s="25">
        <v>18</v>
      </c>
      <c r="L29" s="29">
        <f>25/2</f>
        <v>12.5</v>
      </c>
      <c r="M29" s="14">
        <v>8</v>
      </c>
    </row>
    <row r="30" spans="1:13" s="5" customFormat="1">
      <c r="A30" s="15" t="s">
        <v>50</v>
      </c>
      <c r="B30" s="8" t="s">
        <v>32</v>
      </c>
      <c r="C30" s="17">
        <v>12</v>
      </c>
      <c r="D30" s="17">
        <v>7</v>
      </c>
      <c r="E30" s="17">
        <v>5</v>
      </c>
      <c r="F30" s="13">
        <f>5/12</f>
        <v>0.41666666666666669</v>
      </c>
      <c r="G30" s="19">
        <v>3</v>
      </c>
      <c r="H30" s="19">
        <v>2</v>
      </c>
      <c r="I30" s="13">
        <f>2/5</f>
        <v>0.4</v>
      </c>
      <c r="J30" s="27">
        <v>19</v>
      </c>
      <c r="K30" s="25">
        <v>2</v>
      </c>
      <c r="L30" s="29">
        <f>21/2</f>
        <v>10.5</v>
      </c>
      <c r="M30" s="14">
        <v>6</v>
      </c>
    </row>
    <row r="31" spans="1:13">
      <c r="E31" s="18"/>
    </row>
    <row r="32" spans="1:13">
      <c r="E32" s="18"/>
    </row>
    <row r="33" spans="5:5">
      <c r="E33" s="18"/>
    </row>
    <row r="34" spans="5:5">
      <c r="E34" s="18"/>
    </row>
    <row r="35" spans="5:5">
      <c r="E35" s="18"/>
    </row>
    <row r="36" spans="5:5">
      <c r="E36" s="18"/>
    </row>
    <row r="37" spans="5:5">
      <c r="E37" s="18"/>
    </row>
    <row r="38" spans="5:5">
      <c r="E38" s="18"/>
    </row>
    <row r="39" spans="5:5">
      <c r="E39" s="18"/>
    </row>
    <row r="40" spans="5:5">
      <c r="E40" s="18"/>
    </row>
  </sheetData>
  <mergeCells count="1">
    <mergeCell ref="A1:M1"/>
  </mergeCells>
  <phoneticPr fontId="2"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39717-37B1-400E-B45F-E771399B16F3}">
  <dimension ref="A1:H42"/>
  <sheetViews>
    <sheetView workbookViewId="0">
      <selection sqref="A1:H1"/>
    </sheetView>
  </sheetViews>
  <sheetFormatPr defaultRowHeight="14.4"/>
  <cols>
    <col min="1" max="1" width="23.21875" customWidth="1"/>
    <col min="2" max="2" width="26.88671875" customWidth="1"/>
    <col min="3" max="3" width="23.44140625" customWidth="1"/>
    <col min="4" max="4" width="14.88671875" customWidth="1"/>
    <col min="5" max="5" width="19.109375" customWidth="1"/>
    <col min="6" max="6" width="21.44140625" style="8" customWidth="1"/>
    <col min="7" max="7" width="41.6640625" style="21" customWidth="1"/>
    <col min="8" max="8" width="25.44140625" style="52" customWidth="1"/>
  </cols>
  <sheetData>
    <row r="1" spans="1:8" ht="27.6" customHeight="1" thickBot="1">
      <c r="A1" s="101" t="s">
        <v>58</v>
      </c>
      <c r="B1" s="102"/>
      <c r="C1" s="102"/>
      <c r="D1" s="102"/>
      <c r="E1" s="102"/>
      <c r="F1" s="102"/>
      <c r="G1" s="103"/>
      <c r="H1" s="104"/>
    </row>
    <row r="2" spans="1:8">
      <c r="A2" s="83" t="s">
        <v>59</v>
      </c>
      <c r="B2" s="83" t="s">
        <v>60</v>
      </c>
      <c r="C2" s="83" t="s">
        <v>61</v>
      </c>
      <c r="D2" s="83" t="s">
        <v>62</v>
      </c>
      <c r="E2" s="83" t="s">
        <v>63</v>
      </c>
      <c r="F2" s="83" t="s">
        <v>64</v>
      </c>
      <c r="G2" s="105" t="s">
        <v>223</v>
      </c>
      <c r="H2" s="105" t="s">
        <v>66</v>
      </c>
    </row>
    <row r="3" spans="1:8" ht="36" customHeight="1">
      <c r="A3" s="86"/>
      <c r="B3" s="86"/>
      <c r="C3" s="86"/>
      <c r="D3" s="86"/>
      <c r="E3" s="87"/>
      <c r="F3" s="87"/>
      <c r="G3" s="100"/>
      <c r="H3" s="75"/>
    </row>
    <row r="4" spans="1:8">
      <c r="A4" s="86" t="s">
        <v>67</v>
      </c>
      <c r="B4" s="86" t="s">
        <v>68</v>
      </c>
      <c r="C4" s="88" t="s">
        <v>69</v>
      </c>
      <c r="D4" s="88" t="s">
        <v>70</v>
      </c>
      <c r="E4" s="94" t="s">
        <v>71</v>
      </c>
      <c r="F4" s="86" t="s">
        <v>72</v>
      </c>
      <c r="G4" s="89">
        <v>1</v>
      </c>
      <c r="H4" s="89">
        <v>1</v>
      </c>
    </row>
    <row r="5" spans="1:8" ht="38.4" customHeight="1">
      <c r="A5" s="86"/>
      <c r="B5" s="87"/>
      <c r="C5" s="87"/>
      <c r="D5" s="87"/>
      <c r="E5" s="95"/>
      <c r="F5" s="87"/>
      <c r="G5" s="89"/>
      <c r="H5" s="89"/>
    </row>
    <row r="6" spans="1:8">
      <c r="A6" s="86" t="s">
        <v>73</v>
      </c>
      <c r="B6" s="86" t="s">
        <v>74</v>
      </c>
      <c r="C6" s="88" t="s">
        <v>75</v>
      </c>
      <c r="D6" s="88" t="s">
        <v>76</v>
      </c>
      <c r="E6" s="90" t="s">
        <v>77</v>
      </c>
      <c r="F6" s="86" t="s">
        <v>78</v>
      </c>
      <c r="G6" s="89">
        <v>1</v>
      </c>
      <c r="H6" s="100"/>
    </row>
    <row r="7" spans="1:8">
      <c r="A7" s="86"/>
      <c r="B7" s="87"/>
      <c r="C7" s="87"/>
      <c r="D7" s="87"/>
      <c r="E7" s="91"/>
      <c r="F7" s="87"/>
      <c r="G7" s="89"/>
      <c r="H7" s="100"/>
    </row>
    <row r="8" spans="1:8">
      <c r="A8" s="86" t="s">
        <v>79</v>
      </c>
      <c r="B8" s="86" t="s">
        <v>80</v>
      </c>
      <c r="C8" s="88" t="s">
        <v>81</v>
      </c>
      <c r="D8" s="88" t="s">
        <v>70</v>
      </c>
      <c r="E8" s="94" t="s">
        <v>82</v>
      </c>
      <c r="F8" s="86" t="s">
        <v>83</v>
      </c>
      <c r="G8" s="89">
        <v>1</v>
      </c>
      <c r="H8" s="89">
        <v>1</v>
      </c>
    </row>
    <row r="9" spans="1:8">
      <c r="A9" s="97"/>
      <c r="B9" s="87"/>
      <c r="C9" s="87"/>
      <c r="D9" s="87"/>
      <c r="E9" s="95"/>
      <c r="F9" s="87"/>
      <c r="G9" s="89"/>
      <c r="H9" s="89"/>
    </row>
    <row r="10" spans="1:8">
      <c r="A10" s="97"/>
      <c r="B10" s="92"/>
      <c r="C10" s="92"/>
      <c r="D10" s="92"/>
      <c r="E10" s="99"/>
      <c r="F10" s="87"/>
      <c r="G10" s="89"/>
      <c r="H10" s="89"/>
    </row>
    <row r="11" spans="1:8">
      <c r="A11" s="97"/>
      <c r="B11" s="86" t="s">
        <v>84</v>
      </c>
      <c r="C11" s="88" t="s">
        <v>69</v>
      </c>
      <c r="D11" s="88" t="s">
        <v>70</v>
      </c>
      <c r="E11" s="86"/>
      <c r="F11" s="86"/>
      <c r="G11" s="89">
        <v>1</v>
      </c>
      <c r="H11" s="75"/>
    </row>
    <row r="12" spans="1:8">
      <c r="A12" s="97"/>
      <c r="B12" s="87"/>
      <c r="C12" s="87"/>
      <c r="D12" s="87"/>
      <c r="E12" s="86"/>
      <c r="F12" s="86"/>
      <c r="G12" s="89"/>
      <c r="H12" s="75"/>
    </row>
    <row r="13" spans="1:8">
      <c r="A13" s="97"/>
      <c r="B13" s="86" t="s">
        <v>85</v>
      </c>
      <c r="C13" s="88" t="s">
        <v>81</v>
      </c>
      <c r="D13" s="88" t="s">
        <v>70</v>
      </c>
      <c r="E13" s="86"/>
      <c r="F13" s="86" t="s">
        <v>86</v>
      </c>
      <c r="G13" s="89">
        <v>1</v>
      </c>
      <c r="H13" s="75"/>
    </row>
    <row r="14" spans="1:8">
      <c r="A14" s="97"/>
      <c r="B14" s="87"/>
      <c r="C14" s="87"/>
      <c r="D14" s="87"/>
      <c r="E14" s="86"/>
      <c r="F14" s="87"/>
      <c r="G14" s="89"/>
      <c r="H14" s="75"/>
    </row>
    <row r="15" spans="1:8">
      <c r="A15" s="86" t="s">
        <v>87</v>
      </c>
      <c r="B15" s="86" t="s">
        <v>88</v>
      </c>
      <c r="C15" s="88" t="s">
        <v>69</v>
      </c>
      <c r="D15" s="88" t="s">
        <v>70</v>
      </c>
      <c r="E15" s="86"/>
      <c r="F15" s="86" t="s">
        <v>89</v>
      </c>
      <c r="G15" s="89">
        <v>1</v>
      </c>
      <c r="H15" s="75"/>
    </row>
    <row r="16" spans="1:8">
      <c r="A16" s="97"/>
      <c r="B16" s="92"/>
      <c r="C16" s="92"/>
      <c r="D16" s="92"/>
      <c r="E16" s="86"/>
      <c r="F16" s="87"/>
      <c r="G16" s="89"/>
      <c r="H16" s="75"/>
    </row>
    <row r="17" spans="1:8">
      <c r="A17" s="97"/>
      <c r="B17" s="92"/>
      <c r="C17" s="92"/>
      <c r="D17" s="92"/>
      <c r="E17" s="86"/>
      <c r="F17" s="87"/>
      <c r="G17" s="89"/>
      <c r="H17" s="75"/>
    </row>
    <row r="18" spans="1:8">
      <c r="A18" s="97"/>
      <c r="B18" s="86" t="s">
        <v>90</v>
      </c>
      <c r="C18" s="88" t="s">
        <v>91</v>
      </c>
      <c r="D18" s="88" t="s">
        <v>69</v>
      </c>
      <c r="E18" s="86"/>
      <c r="F18" s="86" t="s">
        <v>89</v>
      </c>
      <c r="G18" s="89">
        <v>1</v>
      </c>
      <c r="H18" s="75"/>
    </row>
    <row r="19" spans="1:8">
      <c r="A19" s="97"/>
      <c r="B19" s="87"/>
      <c r="C19" s="87"/>
      <c r="D19" s="87"/>
      <c r="E19" s="86"/>
      <c r="F19" s="87"/>
      <c r="G19" s="89"/>
      <c r="H19" s="75"/>
    </row>
    <row r="20" spans="1:8">
      <c r="A20" s="86" t="s">
        <v>92</v>
      </c>
      <c r="B20" s="86" t="s">
        <v>93</v>
      </c>
      <c r="C20" s="88" t="s">
        <v>76</v>
      </c>
      <c r="D20" s="88" t="s">
        <v>70</v>
      </c>
      <c r="E20" s="90" t="s">
        <v>94</v>
      </c>
      <c r="F20" s="86" t="s">
        <v>83</v>
      </c>
      <c r="G20" s="89">
        <v>12</v>
      </c>
      <c r="H20" s="75"/>
    </row>
    <row r="21" spans="1:8">
      <c r="A21" s="98"/>
      <c r="B21" s="87"/>
      <c r="C21" s="92"/>
      <c r="D21" s="92"/>
      <c r="E21" s="93"/>
      <c r="F21" s="87"/>
      <c r="G21" s="89"/>
      <c r="H21" s="75"/>
    </row>
    <row r="22" spans="1:8" ht="93.6" customHeight="1">
      <c r="A22" s="98"/>
      <c r="B22" s="87"/>
      <c r="C22" s="92"/>
      <c r="D22" s="92"/>
      <c r="E22" s="93"/>
      <c r="F22" s="87"/>
      <c r="G22" s="89"/>
      <c r="H22" s="75"/>
    </row>
    <row r="23" spans="1:8">
      <c r="A23" s="86" t="s">
        <v>95</v>
      </c>
      <c r="B23" s="86" t="s">
        <v>96</v>
      </c>
      <c r="C23" s="88" t="s">
        <v>76</v>
      </c>
      <c r="D23" s="88" t="s">
        <v>70</v>
      </c>
      <c r="E23" s="90" t="s">
        <v>97</v>
      </c>
      <c r="F23" s="86" t="s">
        <v>78</v>
      </c>
      <c r="G23" s="89">
        <v>1</v>
      </c>
      <c r="H23" s="75"/>
    </row>
    <row r="24" spans="1:8">
      <c r="A24" s="97"/>
      <c r="B24" s="92"/>
      <c r="C24" s="92"/>
      <c r="D24" s="92"/>
      <c r="E24" s="93"/>
      <c r="F24" s="87"/>
      <c r="G24" s="89"/>
      <c r="H24" s="75"/>
    </row>
    <row r="25" spans="1:8">
      <c r="A25" s="97"/>
      <c r="B25" s="92"/>
      <c r="C25" s="92"/>
      <c r="D25" s="92"/>
      <c r="E25" s="93"/>
      <c r="F25" s="87"/>
      <c r="G25" s="89"/>
      <c r="H25" s="75"/>
    </row>
    <row r="26" spans="1:8">
      <c r="A26" s="97"/>
      <c r="B26" s="92"/>
      <c r="C26" s="92"/>
      <c r="D26" s="92"/>
      <c r="E26" s="93"/>
      <c r="F26" s="87"/>
      <c r="G26" s="89"/>
      <c r="H26" s="75"/>
    </row>
    <row r="27" spans="1:8">
      <c r="A27" s="97"/>
      <c r="B27" s="86" t="s">
        <v>98</v>
      </c>
      <c r="C27" s="88" t="s">
        <v>69</v>
      </c>
      <c r="D27" s="88" t="s">
        <v>70</v>
      </c>
      <c r="E27" s="94" t="s">
        <v>97</v>
      </c>
      <c r="F27" s="96" t="s">
        <v>99</v>
      </c>
      <c r="G27" s="89">
        <v>1</v>
      </c>
      <c r="H27" s="89">
        <v>1</v>
      </c>
    </row>
    <row r="28" spans="1:8">
      <c r="A28" s="97"/>
      <c r="B28" s="87"/>
      <c r="C28" s="87"/>
      <c r="D28" s="87"/>
      <c r="E28" s="95"/>
      <c r="F28" s="87"/>
      <c r="G28" s="89"/>
      <c r="H28" s="89"/>
    </row>
    <row r="29" spans="1:8" ht="14.4" customHeight="1">
      <c r="A29" s="97"/>
      <c r="B29" s="86" t="s">
        <v>100</v>
      </c>
      <c r="C29" s="88" t="s">
        <v>101</v>
      </c>
      <c r="D29" s="88" t="s">
        <v>70</v>
      </c>
      <c r="E29" s="90" t="s">
        <v>102</v>
      </c>
      <c r="F29" s="86" t="s">
        <v>103</v>
      </c>
      <c r="G29" s="89">
        <v>5</v>
      </c>
      <c r="H29" s="75"/>
    </row>
    <row r="30" spans="1:8">
      <c r="A30" s="97"/>
      <c r="B30" s="87"/>
      <c r="C30" s="92"/>
      <c r="D30" s="92"/>
      <c r="E30" s="91"/>
      <c r="F30" s="87"/>
      <c r="G30" s="89"/>
      <c r="H30" s="75"/>
    </row>
    <row r="31" spans="1:8">
      <c r="A31" s="97"/>
      <c r="B31" s="87"/>
      <c r="C31" s="92"/>
      <c r="D31" s="92"/>
      <c r="E31" s="91"/>
      <c r="F31" s="87"/>
      <c r="G31" s="89"/>
      <c r="H31" s="75"/>
    </row>
    <row r="32" spans="1:8">
      <c r="A32" s="97"/>
      <c r="B32" s="92"/>
      <c r="C32" s="92"/>
      <c r="D32" s="92"/>
      <c r="E32" s="91"/>
      <c r="F32" s="87"/>
      <c r="G32" s="89"/>
      <c r="H32" s="75"/>
    </row>
    <row r="33" spans="1:8">
      <c r="A33" s="97"/>
      <c r="B33" s="86" t="s">
        <v>104</v>
      </c>
      <c r="C33" s="88" t="s">
        <v>76</v>
      </c>
      <c r="D33" s="88" t="s">
        <v>70</v>
      </c>
      <c r="E33" s="90" t="s">
        <v>105</v>
      </c>
      <c r="F33" s="86" t="s">
        <v>106</v>
      </c>
      <c r="G33" s="89">
        <v>2</v>
      </c>
      <c r="H33" s="75"/>
    </row>
    <row r="34" spans="1:8">
      <c r="A34" s="97"/>
      <c r="B34" s="87"/>
      <c r="C34" s="92"/>
      <c r="D34" s="92"/>
      <c r="E34" s="93"/>
      <c r="F34" s="87"/>
      <c r="G34" s="89"/>
      <c r="H34" s="75"/>
    </row>
    <row r="35" spans="1:8">
      <c r="A35" s="97"/>
      <c r="B35" s="87"/>
      <c r="C35" s="92"/>
      <c r="D35" s="92"/>
      <c r="E35" s="93"/>
      <c r="F35" s="87"/>
      <c r="G35" s="89"/>
      <c r="H35" s="75"/>
    </row>
    <row r="36" spans="1:8">
      <c r="A36" s="97"/>
      <c r="B36" s="86" t="s">
        <v>107</v>
      </c>
      <c r="C36" s="88" t="s">
        <v>76</v>
      </c>
      <c r="D36" s="88" t="s">
        <v>70</v>
      </c>
      <c r="E36" s="90" t="s">
        <v>108</v>
      </c>
      <c r="F36" s="86" t="s">
        <v>83</v>
      </c>
      <c r="G36" s="89">
        <v>2</v>
      </c>
      <c r="H36" s="75"/>
    </row>
    <row r="37" spans="1:8">
      <c r="A37" s="97"/>
      <c r="B37" s="87"/>
      <c r="C37" s="87"/>
      <c r="D37" s="87"/>
      <c r="E37" s="91"/>
      <c r="F37" s="87"/>
      <c r="G37" s="89"/>
      <c r="H37" s="75"/>
    </row>
    <row r="38" spans="1:8">
      <c r="A38" s="97"/>
      <c r="B38" s="86" t="s">
        <v>109</v>
      </c>
      <c r="C38" s="88" t="s">
        <v>75</v>
      </c>
      <c r="D38" s="88" t="s">
        <v>70</v>
      </c>
      <c r="E38" s="86"/>
      <c r="F38" s="86"/>
      <c r="G38" s="89">
        <v>1</v>
      </c>
      <c r="H38" s="75"/>
    </row>
    <row r="39" spans="1:8" ht="19.8" customHeight="1">
      <c r="A39" s="97"/>
      <c r="B39" s="87"/>
      <c r="C39" s="87"/>
      <c r="D39" s="87"/>
      <c r="E39" s="86"/>
      <c r="F39" s="86"/>
      <c r="G39" s="89"/>
      <c r="H39" s="75"/>
    </row>
    <row r="40" spans="1:8">
      <c r="A40" s="76" t="s">
        <v>110</v>
      </c>
      <c r="B40" s="78"/>
      <c r="C40" s="79"/>
      <c r="D40" s="79"/>
      <c r="E40" s="79"/>
      <c r="F40" s="79"/>
      <c r="G40" s="82">
        <v>31</v>
      </c>
      <c r="H40" s="84">
        <v>3</v>
      </c>
    </row>
    <row r="41" spans="1:8">
      <c r="A41" s="77"/>
      <c r="B41" s="80"/>
      <c r="C41" s="81"/>
      <c r="D41" s="81"/>
      <c r="E41" s="81"/>
      <c r="F41" s="81"/>
      <c r="G41" s="83"/>
      <c r="H41" s="85"/>
    </row>
    <row r="42" spans="1:8">
      <c r="G42" s="51" t="s">
        <v>111</v>
      </c>
    </row>
  </sheetData>
  <mergeCells count="117">
    <mergeCell ref="A1:H1"/>
    <mergeCell ref="A2:A3"/>
    <mergeCell ref="B2:B3"/>
    <mergeCell ref="C2:C3"/>
    <mergeCell ref="D2:D3"/>
    <mergeCell ref="E2:E3"/>
    <mergeCell ref="F2:F3"/>
    <mergeCell ref="G2:G3"/>
    <mergeCell ref="H2:H3"/>
    <mergeCell ref="G4:G5"/>
    <mergeCell ref="H4:H5"/>
    <mergeCell ref="A6:A7"/>
    <mergeCell ref="B6:B7"/>
    <mergeCell ref="C6:C7"/>
    <mergeCell ref="D6:D7"/>
    <mergeCell ref="E6:E7"/>
    <mergeCell ref="F6:F7"/>
    <mergeCell ref="G6:G7"/>
    <mergeCell ref="H6:H7"/>
    <mergeCell ref="A4:A5"/>
    <mergeCell ref="B4:B5"/>
    <mergeCell ref="C4:C5"/>
    <mergeCell ref="D4:D5"/>
    <mergeCell ref="E4:E5"/>
    <mergeCell ref="F4:F5"/>
    <mergeCell ref="A15:A19"/>
    <mergeCell ref="B15:B17"/>
    <mergeCell ref="C15:C17"/>
    <mergeCell ref="D15:D17"/>
    <mergeCell ref="E15:E17"/>
    <mergeCell ref="F15:F17"/>
    <mergeCell ref="G15:G17"/>
    <mergeCell ref="G8:G10"/>
    <mergeCell ref="H8:H10"/>
    <mergeCell ref="B11:B12"/>
    <mergeCell ref="C11:C12"/>
    <mergeCell ref="D11:D12"/>
    <mergeCell ref="E11:E12"/>
    <mergeCell ref="F11:F12"/>
    <mergeCell ref="G11:G12"/>
    <mergeCell ref="H11:H12"/>
    <mergeCell ref="A8:A14"/>
    <mergeCell ref="B8:B10"/>
    <mergeCell ref="C8:C10"/>
    <mergeCell ref="D8:D10"/>
    <mergeCell ref="E8:E10"/>
    <mergeCell ref="F8:F10"/>
    <mergeCell ref="B13:B14"/>
    <mergeCell ref="C13:C14"/>
    <mergeCell ref="H15:H17"/>
    <mergeCell ref="B18:B19"/>
    <mergeCell ref="C18:C19"/>
    <mergeCell ref="D18:D19"/>
    <mergeCell ref="E18:E19"/>
    <mergeCell ref="F18:F19"/>
    <mergeCell ref="G18:G19"/>
    <mergeCell ref="H18:H19"/>
    <mergeCell ref="F13:F14"/>
    <mergeCell ref="G13:G14"/>
    <mergeCell ref="H13:H14"/>
    <mergeCell ref="D13:D14"/>
    <mergeCell ref="E13:E14"/>
    <mergeCell ref="G20:G22"/>
    <mergeCell ref="H20:H22"/>
    <mergeCell ref="A23:A39"/>
    <mergeCell ref="B23:B26"/>
    <mergeCell ref="C23:C26"/>
    <mergeCell ref="D23:D26"/>
    <mergeCell ref="E23:E26"/>
    <mergeCell ref="F23:F26"/>
    <mergeCell ref="G23:G26"/>
    <mergeCell ref="H23:H26"/>
    <mergeCell ref="A20:A22"/>
    <mergeCell ref="B20:B22"/>
    <mergeCell ref="C20:C22"/>
    <mergeCell ref="D20:D22"/>
    <mergeCell ref="E20:E22"/>
    <mergeCell ref="F20:F22"/>
    <mergeCell ref="H27:H28"/>
    <mergeCell ref="B29:B32"/>
    <mergeCell ref="C29:C32"/>
    <mergeCell ref="D29:D32"/>
    <mergeCell ref="E29:E32"/>
    <mergeCell ref="F29:F32"/>
    <mergeCell ref="G29:G32"/>
    <mergeCell ref="H29:H32"/>
    <mergeCell ref="B27:B28"/>
    <mergeCell ref="C27:C28"/>
    <mergeCell ref="D27:D28"/>
    <mergeCell ref="E27:E28"/>
    <mergeCell ref="F27:F28"/>
    <mergeCell ref="G27:G28"/>
    <mergeCell ref="H33:H35"/>
    <mergeCell ref="B36:B37"/>
    <mergeCell ref="C36:C37"/>
    <mergeCell ref="D36:D37"/>
    <mergeCell ref="E36:E37"/>
    <mergeCell ref="F36:F37"/>
    <mergeCell ref="G36:G37"/>
    <mergeCell ref="H36:H37"/>
    <mergeCell ref="B33:B35"/>
    <mergeCell ref="C33:C35"/>
    <mergeCell ref="D33:D35"/>
    <mergeCell ref="E33:E35"/>
    <mergeCell ref="F33:F35"/>
    <mergeCell ref="G33:G35"/>
    <mergeCell ref="H38:H39"/>
    <mergeCell ref="A40:A41"/>
    <mergeCell ref="B40:F41"/>
    <mergeCell ref="G40:G41"/>
    <mergeCell ref="H40:H41"/>
    <mergeCell ref="B38:B39"/>
    <mergeCell ref="C38:C39"/>
    <mergeCell ref="D38:D39"/>
    <mergeCell ref="E38:E39"/>
    <mergeCell ref="F38:F39"/>
    <mergeCell ref="G38:G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6E74F-A0D2-4159-B1B5-77C97615E47F}">
  <dimension ref="A1:H664"/>
  <sheetViews>
    <sheetView workbookViewId="0">
      <selection sqref="A1:H1"/>
    </sheetView>
  </sheetViews>
  <sheetFormatPr defaultRowHeight="14.4"/>
  <cols>
    <col min="1" max="1" width="21" style="8" customWidth="1"/>
    <col min="2" max="2" width="38.88671875" customWidth="1"/>
    <col min="3" max="3" width="17.88671875" customWidth="1"/>
    <col min="4" max="4" width="16" customWidth="1"/>
    <col min="5" max="5" width="26" customWidth="1"/>
    <col min="6" max="6" width="23.88671875" customWidth="1"/>
    <col min="7" max="7" width="33.6640625" style="60" customWidth="1"/>
    <col min="8" max="8" width="26.33203125" style="59" customWidth="1"/>
  </cols>
  <sheetData>
    <row r="1" spans="1:8" ht="28.8" customHeight="1" thickBot="1">
      <c r="A1" s="115" t="s">
        <v>112</v>
      </c>
      <c r="B1" s="116"/>
      <c r="C1" s="116"/>
      <c r="D1" s="116"/>
      <c r="E1" s="116"/>
      <c r="F1" s="116"/>
      <c r="G1" s="117"/>
      <c r="H1" s="118"/>
    </row>
    <row r="2" spans="1:8">
      <c r="A2" s="109" t="s">
        <v>113</v>
      </c>
      <c r="B2" s="86" t="s">
        <v>60</v>
      </c>
      <c r="C2" s="86" t="s">
        <v>61</v>
      </c>
      <c r="D2" s="86" t="s">
        <v>62</v>
      </c>
      <c r="E2" s="86" t="s">
        <v>114</v>
      </c>
      <c r="F2" s="86" t="s">
        <v>115</v>
      </c>
      <c r="G2" s="100" t="s">
        <v>65</v>
      </c>
      <c r="H2" s="100" t="s">
        <v>116</v>
      </c>
    </row>
    <row r="3" spans="1:8" ht="42.6" customHeight="1">
      <c r="A3" s="119"/>
      <c r="B3" s="86"/>
      <c r="C3" s="86"/>
      <c r="D3" s="86"/>
      <c r="E3" s="87"/>
      <c r="F3" s="87"/>
      <c r="G3" s="100"/>
      <c r="H3" s="100"/>
    </row>
    <row r="4" spans="1:8">
      <c r="A4" s="110" t="s">
        <v>117</v>
      </c>
      <c r="B4" s="86" t="s">
        <v>118</v>
      </c>
      <c r="C4" s="88" t="s">
        <v>119</v>
      </c>
      <c r="D4" s="88" t="s">
        <v>70</v>
      </c>
      <c r="E4" s="90" t="s">
        <v>120</v>
      </c>
      <c r="F4" s="86" t="s">
        <v>121</v>
      </c>
      <c r="G4" s="89">
        <v>1</v>
      </c>
      <c r="H4" s="88"/>
    </row>
    <row r="5" spans="1:8">
      <c r="A5" s="110"/>
      <c r="B5" s="87"/>
      <c r="C5" s="92"/>
      <c r="D5" s="92"/>
      <c r="E5" s="93"/>
      <c r="F5" s="92"/>
      <c r="G5" s="88"/>
      <c r="H5" s="88"/>
    </row>
    <row r="6" spans="1:8">
      <c r="A6" s="110"/>
      <c r="B6" s="92"/>
      <c r="C6" s="92"/>
      <c r="D6" s="92"/>
      <c r="E6" s="93"/>
      <c r="F6" s="92"/>
      <c r="G6" s="88"/>
      <c r="H6" s="88"/>
    </row>
    <row r="7" spans="1:8">
      <c r="A7" s="110"/>
      <c r="B7" s="86" t="s">
        <v>122</v>
      </c>
      <c r="C7" s="88" t="s">
        <v>69</v>
      </c>
      <c r="D7" s="88" t="s">
        <v>70</v>
      </c>
      <c r="E7" s="88" t="s">
        <v>70</v>
      </c>
      <c r="F7" s="88" t="s">
        <v>70</v>
      </c>
      <c r="G7" s="88">
        <v>1</v>
      </c>
      <c r="H7" s="88"/>
    </row>
    <row r="8" spans="1:8">
      <c r="A8" s="110"/>
      <c r="B8" s="87"/>
      <c r="C8" s="87"/>
      <c r="D8" s="87"/>
      <c r="E8" s="87"/>
      <c r="F8" s="87"/>
      <c r="G8" s="88"/>
      <c r="H8" s="88"/>
    </row>
    <row r="9" spans="1:8">
      <c r="A9" s="110"/>
      <c r="B9" s="86" t="s">
        <v>123</v>
      </c>
      <c r="C9" s="88" t="s">
        <v>91</v>
      </c>
      <c r="D9" s="88" t="s">
        <v>81</v>
      </c>
      <c r="E9" s="88" t="s">
        <v>70</v>
      </c>
      <c r="F9" s="88" t="s">
        <v>70</v>
      </c>
      <c r="G9" s="88">
        <v>1</v>
      </c>
      <c r="H9" s="88"/>
    </row>
    <row r="10" spans="1:8">
      <c r="A10" s="110"/>
      <c r="B10" s="87"/>
      <c r="C10" s="87"/>
      <c r="D10" s="87"/>
      <c r="E10" s="87"/>
      <c r="F10" s="87"/>
      <c r="G10" s="88"/>
      <c r="H10" s="88"/>
    </row>
    <row r="11" spans="1:8">
      <c r="A11" s="110"/>
      <c r="B11" s="86" t="s">
        <v>124</v>
      </c>
      <c r="C11" s="88" t="s">
        <v>125</v>
      </c>
      <c r="D11" s="88" t="s">
        <v>70</v>
      </c>
      <c r="E11" s="90" t="s">
        <v>126</v>
      </c>
      <c r="F11" s="86" t="s">
        <v>106</v>
      </c>
      <c r="G11" s="88">
        <v>1</v>
      </c>
      <c r="H11" s="88"/>
    </row>
    <row r="12" spans="1:8">
      <c r="A12" s="110"/>
      <c r="B12" s="87"/>
      <c r="C12" s="87"/>
      <c r="D12" s="87"/>
      <c r="E12" s="91"/>
      <c r="F12" s="87"/>
      <c r="G12" s="88"/>
      <c r="H12" s="88"/>
    </row>
    <row r="13" spans="1:8">
      <c r="A13" s="110"/>
      <c r="B13" s="86" t="s">
        <v>127</v>
      </c>
      <c r="C13" s="88" t="s">
        <v>128</v>
      </c>
      <c r="D13" s="86"/>
      <c r="E13" s="86"/>
      <c r="F13" s="86"/>
      <c r="G13" s="88"/>
      <c r="H13" s="88"/>
    </row>
    <row r="14" spans="1:8" ht="28.8" customHeight="1" thickBot="1">
      <c r="A14" s="111"/>
      <c r="B14" s="87"/>
      <c r="C14" s="87"/>
      <c r="D14" s="86"/>
      <c r="E14" s="86"/>
      <c r="F14" s="86"/>
      <c r="G14" s="88"/>
      <c r="H14" s="88"/>
    </row>
    <row r="15" spans="1:8">
      <c r="A15" s="109" t="s">
        <v>129</v>
      </c>
      <c r="B15" s="86" t="s">
        <v>130</v>
      </c>
      <c r="C15" s="88" t="s">
        <v>69</v>
      </c>
      <c r="D15" s="88" t="s">
        <v>70</v>
      </c>
      <c r="E15" s="94" t="s">
        <v>131</v>
      </c>
      <c r="F15" s="86" t="s">
        <v>132</v>
      </c>
      <c r="G15" s="88">
        <v>3</v>
      </c>
      <c r="H15" s="88">
        <v>3</v>
      </c>
    </row>
    <row r="16" spans="1:8">
      <c r="A16" s="110"/>
      <c r="B16" s="87"/>
      <c r="C16" s="87"/>
      <c r="D16" s="87"/>
      <c r="E16" s="95"/>
      <c r="F16" s="87"/>
      <c r="G16" s="88"/>
      <c r="H16" s="88"/>
    </row>
    <row r="17" spans="1:8" ht="28.8" customHeight="1" thickBot="1">
      <c r="A17" s="111"/>
      <c r="B17" s="87"/>
      <c r="C17" s="87"/>
      <c r="D17" s="87"/>
      <c r="E17" s="95"/>
      <c r="F17" s="87"/>
      <c r="G17" s="88"/>
      <c r="H17" s="88"/>
    </row>
    <row r="18" spans="1:8" ht="76.8" customHeight="1">
      <c r="A18" s="53" t="s">
        <v>133</v>
      </c>
      <c r="B18" s="54" t="s">
        <v>134</v>
      </c>
      <c r="C18" s="49" t="s">
        <v>69</v>
      </c>
      <c r="D18" s="49" t="s">
        <v>70</v>
      </c>
      <c r="E18" s="55"/>
      <c r="F18" s="48" t="s">
        <v>135</v>
      </c>
      <c r="G18" s="56">
        <v>5</v>
      </c>
      <c r="H18" s="56"/>
    </row>
    <row r="19" spans="1:8" ht="105" customHeight="1">
      <c r="A19" s="114" t="s">
        <v>136</v>
      </c>
      <c r="B19" s="86" t="s">
        <v>137</v>
      </c>
      <c r="C19" s="88" t="s">
        <v>69</v>
      </c>
      <c r="D19" s="88" t="s">
        <v>70</v>
      </c>
      <c r="E19" s="86"/>
      <c r="F19" s="86"/>
      <c r="G19" s="88">
        <v>1</v>
      </c>
      <c r="H19" s="88"/>
    </row>
    <row r="20" spans="1:8" ht="15" thickBot="1">
      <c r="A20" s="113"/>
      <c r="B20" s="87"/>
      <c r="C20" s="87"/>
      <c r="D20" s="87"/>
      <c r="E20" s="86"/>
      <c r="F20" s="86"/>
      <c r="G20" s="88"/>
      <c r="H20" s="88"/>
    </row>
    <row r="21" spans="1:8">
      <c r="A21" s="109" t="s">
        <v>138</v>
      </c>
      <c r="B21" s="86" t="s">
        <v>139</v>
      </c>
      <c r="C21" s="88" t="s">
        <v>69</v>
      </c>
      <c r="D21" s="88" t="s">
        <v>70</v>
      </c>
      <c r="E21" s="94" t="s">
        <v>140</v>
      </c>
      <c r="F21" s="86" t="s">
        <v>141</v>
      </c>
      <c r="G21" s="88">
        <v>2</v>
      </c>
      <c r="H21" s="88">
        <v>2</v>
      </c>
    </row>
    <row r="22" spans="1:8" ht="38.4" customHeight="1" thickBot="1">
      <c r="A22" s="111"/>
      <c r="B22" s="87"/>
      <c r="C22" s="87"/>
      <c r="D22" s="87"/>
      <c r="E22" s="95"/>
      <c r="F22" s="87"/>
      <c r="G22" s="88"/>
      <c r="H22" s="88"/>
    </row>
    <row r="23" spans="1:8">
      <c r="A23" s="109" t="s">
        <v>142</v>
      </c>
      <c r="B23" s="86" t="s">
        <v>143</v>
      </c>
      <c r="C23" s="88" t="s">
        <v>69</v>
      </c>
      <c r="D23" s="88" t="s">
        <v>70</v>
      </c>
      <c r="E23" s="94" t="s">
        <v>144</v>
      </c>
      <c r="F23" s="86" t="s">
        <v>145</v>
      </c>
      <c r="G23" s="88">
        <v>1</v>
      </c>
      <c r="H23" s="88">
        <v>1</v>
      </c>
    </row>
    <row r="24" spans="1:8" ht="15" thickBot="1">
      <c r="A24" s="111"/>
      <c r="B24" s="87"/>
      <c r="C24" s="87"/>
      <c r="D24" s="87"/>
      <c r="E24" s="95"/>
      <c r="F24" s="87"/>
      <c r="G24" s="88"/>
      <c r="H24" s="88"/>
    </row>
    <row r="25" spans="1:8">
      <c r="A25" s="109" t="s">
        <v>146</v>
      </c>
      <c r="B25" s="86" t="s">
        <v>147</v>
      </c>
      <c r="C25" s="88" t="s">
        <v>148</v>
      </c>
      <c r="D25" s="88" t="s">
        <v>70</v>
      </c>
      <c r="E25" s="86"/>
      <c r="F25" s="86" t="s">
        <v>149</v>
      </c>
      <c r="G25" s="88">
        <v>1</v>
      </c>
      <c r="H25" s="88"/>
    </row>
    <row r="26" spans="1:8">
      <c r="A26" s="110"/>
      <c r="B26" s="87"/>
      <c r="C26" s="87"/>
      <c r="D26" s="87"/>
      <c r="E26" s="86"/>
      <c r="F26" s="92"/>
      <c r="G26" s="88"/>
      <c r="H26" s="88"/>
    </row>
    <row r="27" spans="1:8" ht="15" thickBot="1">
      <c r="A27" s="111"/>
      <c r="B27" s="92"/>
      <c r="C27" s="92"/>
      <c r="D27" s="92"/>
      <c r="E27" s="86"/>
      <c r="F27" s="92"/>
      <c r="G27" s="88"/>
      <c r="H27" s="88"/>
    </row>
    <row r="28" spans="1:8">
      <c r="A28" s="109" t="s">
        <v>150</v>
      </c>
      <c r="B28" s="86" t="s">
        <v>151</v>
      </c>
      <c r="C28" s="88" t="s">
        <v>69</v>
      </c>
      <c r="D28" s="88" t="s">
        <v>70</v>
      </c>
      <c r="E28" s="86"/>
      <c r="F28" s="86" t="s">
        <v>149</v>
      </c>
      <c r="G28" s="88">
        <v>1</v>
      </c>
      <c r="H28" s="88"/>
    </row>
    <row r="29" spans="1:8" ht="15" thickBot="1">
      <c r="A29" s="113"/>
      <c r="B29" s="87"/>
      <c r="C29" s="87"/>
      <c r="D29" s="87"/>
      <c r="E29" s="86"/>
      <c r="F29" s="87"/>
      <c r="G29" s="88"/>
      <c r="H29" s="88"/>
    </row>
    <row r="30" spans="1:8">
      <c r="A30" s="109" t="s">
        <v>152</v>
      </c>
      <c r="B30" s="86" t="s">
        <v>153</v>
      </c>
      <c r="C30" s="88" t="s">
        <v>69</v>
      </c>
      <c r="D30" s="88" t="s">
        <v>70</v>
      </c>
      <c r="E30" s="94" t="s">
        <v>102</v>
      </c>
      <c r="F30" s="86" t="s">
        <v>154</v>
      </c>
      <c r="G30" s="88">
        <v>1</v>
      </c>
      <c r="H30" s="88">
        <v>1</v>
      </c>
    </row>
    <row r="31" spans="1:8" ht="15" thickBot="1">
      <c r="A31" s="111"/>
      <c r="B31" s="87"/>
      <c r="C31" s="87"/>
      <c r="D31" s="87"/>
      <c r="E31" s="95"/>
      <c r="F31" s="87"/>
      <c r="G31" s="88"/>
      <c r="H31" s="88"/>
    </row>
    <row r="32" spans="1:8">
      <c r="A32" s="109" t="s">
        <v>155</v>
      </c>
      <c r="B32" s="86" t="s">
        <v>156</v>
      </c>
      <c r="C32" s="88" t="s">
        <v>69</v>
      </c>
      <c r="D32" s="88" t="s">
        <v>70</v>
      </c>
      <c r="E32" s="94" t="s">
        <v>157</v>
      </c>
      <c r="F32" s="86" t="s">
        <v>141</v>
      </c>
      <c r="G32" s="88">
        <v>3</v>
      </c>
      <c r="H32" s="88">
        <v>2</v>
      </c>
    </row>
    <row r="33" spans="1:8">
      <c r="A33" s="110"/>
      <c r="B33" s="87"/>
      <c r="C33" s="87"/>
      <c r="D33" s="87"/>
      <c r="E33" s="95"/>
      <c r="F33" s="87"/>
      <c r="G33" s="88"/>
      <c r="H33" s="88"/>
    </row>
    <row r="34" spans="1:8">
      <c r="A34" s="110"/>
      <c r="B34" s="86" t="s">
        <v>158</v>
      </c>
      <c r="C34" s="88" t="s">
        <v>69</v>
      </c>
      <c r="D34" s="88" t="s">
        <v>70</v>
      </c>
      <c r="E34" s="94" t="s">
        <v>159</v>
      </c>
      <c r="F34" s="86" t="s">
        <v>145</v>
      </c>
      <c r="G34" s="88">
        <v>1</v>
      </c>
      <c r="H34" s="88">
        <v>1</v>
      </c>
    </row>
    <row r="35" spans="1:8">
      <c r="A35" s="110"/>
      <c r="B35" s="87"/>
      <c r="C35" s="87"/>
      <c r="D35" s="87"/>
      <c r="E35" s="95"/>
      <c r="F35" s="87"/>
      <c r="G35" s="88"/>
      <c r="H35" s="88"/>
    </row>
    <row r="36" spans="1:8">
      <c r="A36" s="110"/>
      <c r="B36" s="86" t="s">
        <v>160</v>
      </c>
      <c r="C36" s="88" t="s">
        <v>69</v>
      </c>
      <c r="D36" s="88" t="s">
        <v>70</v>
      </c>
      <c r="E36" s="94" t="s">
        <v>161</v>
      </c>
      <c r="F36" s="86" t="s">
        <v>145</v>
      </c>
      <c r="G36" s="88">
        <v>1</v>
      </c>
      <c r="H36" s="88">
        <v>1</v>
      </c>
    </row>
    <row r="37" spans="1:8">
      <c r="A37" s="110"/>
      <c r="B37" s="87"/>
      <c r="C37" s="87"/>
      <c r="D37" s="87"/>
      <c r="E37" s="95"/>
      <c r="F37" s="87"/>
      <c r="G37" s="88"/>
      <c r="H37" s="88"/>
    </row>
    <row r="38" spans="1:8">
      <c r="A38" s="110"/>
      <c r="B38" s="86" t="s">
        <v>162</v>
      </c>
      <c r="C38" s="88" t="s">
        <v>69</v>
      </c>
      <c r="D38" s="88" t="s">
        <v>70</v>
      </c>
      <c r="E38" s="94" t="s">
        <v>163</v>
      </c>
      <c r="F38" s="86" t="s">
        <v>141</v>
      </c>
      <c r="G38" s="88">
        <v>1</v>
      </c>
      <c r="H38" s="88">
        <v>1</v>
      </c>
    </row>
    <row r="39" spans="1:8" ht="15" thickBot="1">
      <c r="A39" s="111"/>
      <c r="B39" s="87"/>
      <c r="C39" s="87"/>
      <c r="D39" s="87"/>
      <c r="E39" s="95"/>
      <c r="F39" s="87"/>
      <c r="G39" s="88"/>
      <c r="H39" s="88"/>
    </row>
    <row r="40" spans="1:8">
      <c r="A40" s="109" t="s">
        <v>164</v>
      </c>
      <c r="B40" s="86" t="s">
        <v>165</v>
      </c>
      <c r="C40" s="112" t="s">
        <v>166</v>
      </c>
      <c r="D40" s="88" t="s">
        <v>70</v>
      </c>
      <c r="E40" s="94" t="s">
        <v>167</v>
      </c>
      <c r="F40" s="86" t="s">
        <v>141</v>
      </c>
      <c r="G40" s="88">
        <v>5</v>
      </c>
      <c r="H40" s="88">
        <v>5</v>
      </c>
    </row>
    <row r="41" spans="1:8">
      <c r="A41" s="110"/>
      <c r="B41" s="92"/>
      <c r="C41" s="92"/>
      <c r="D41" s="92"/>
      <c r="E41" s="99"/>
      <c r="F41" s="87"/>
      <c r="G41" s="88"/>
      <c r="H41" s="88"/>
    </row>
    <row r="42" spans="1:8">
      <c r="A42" s="110"/>
      <c r="B42" s="92"/>
      <c r="C42" s="92"/>
      <c r="D42" s="92"/>
      <c r="E42" s="99"/>
      <c r="F42" s="87"/>
      <c r="G42" s="88"/>
      <c r="H42" s="88"/>
    </row>
    <row r="43" spans="1:8">
      <c r="A43" s="110"/>
      <c r="B43" s="92"/>
      <c r="C43" s="92"/>
      <c r="D43" s="92"/>
      <c r="E43" s="99"/>
      <c r="F43" s="87"/>
      <c r="G43" s="88"/>
      <c r="H43" s="88"/>
    </row>
    <row r="44" spans="1:8">
      <c r="A44" s="110"/>
      <c r="B44" s="92"/>
      <c r="C44" s="92"/>
      <c r="D44" s="92"/>
      <c r="E44" s="99"/>
      <c r="F44" s="87"/>
      <c r="G44" s="88"/>
      <c r="H44" s="88"/>
    </row>
    <row r="45" spans="1:8">
      <c r="A45" s="110"/>
      <c r="B45" s="92"/>
      <c r="C45" s="92"/>
      <c r="D45" s="92"/>
      <c r="E45" s="99"/>
      <c r="F45" s="87"/>
      <c r="G45" s="88"/>
      <c r="H45" s="88"/>
    </row>
    <row r="46" spans="1:8">
      <c r="A46" s="110"/>
      <c r="B46" s="86" t="s">
        <v>168</v>
      </c>
      <c r="C46" s="88" t="s">
        <v>76</v>
      </c>
      <c r="D46" s="88" t="s">
        <v>81</v>
      </c>
      <c r="E46" s="94" t="s">
        <v>169</v>
      </c>
      <c r="F46" s="86" t="s">
        <v>83</v>
      </c>
      <c r="G46" s="88">
        <v>1</v>
      </c>
      <c r="H46" s="88">
        <v>1</v>
      </c>
    </row>
    <row r="47" spans="1:8" ht="45" customHeight="1" thickBot="1">
      <c r="A47" s="111"/>
      <c r="B47" s="87"/>
      <c r="C47" s="87"/>
      <c r="D47" s="87"/>
      <c r="E47" s="95"/>
      <c r="F47" s="87"/>
      <c r="G47" s="88"/>
      <c r="H47" s="88"/>
    </row>
    <row r="48" spans="1:8">
      <c r="A48" s="109" t="s">
        <v>170</v>
      </c>
      <c r="B48" s="86" t="s">
        <v>171</v>
      </c>
      <c r="C48" s="88" t="s">
        <v>172</v>
      </c>
      <c r="D48" s="88" t="s">
        <v>70</v>
      </c>
      <c r="E48" s="90" t="s">
        <v>173</v>
      </c>
      <c r="F48" s="86" t="s">
        <v>78</v>
      </c>
      <c r="G48" s="88">
        <v>2</v>
      </c>
      <c r="H48" s="88"/>
    </row>
    <row r="49" spans="1:8" ht="38.4" customHeight="1">
      <c r="A49" s="110"/>
      <c r="B49" s="87"/>
      <c r="C49" s="88"/>
      <c r="D49" s="87"/>
      <c r="E49" s="91"/>
      <c r="F49" s="87"/>
      <c r="G49" s="88"/>
      <c r="H49" s="88"/>
    </row>
    <row r="50" spans="1:8">
      <c r="A50" s="106" t="s">
        <v>110</v>
      </c>
      <c r="B50" s="108"/>
      <c r="C50" s="108"/>
      <c r="D50" s="108"/>
      <c r="E50" s="108"/>
      <c r="F50" s="108"/>
      <c r="G50" s="100">
        <f>SUM(G4:G49)</f>
        <v>33</v>
      </c>
      <c r="H50" s="86">
        <f>SUM(H4:H49)</f>
        <v>18</v>
      </c>
    </row>
    <row r="51" spans="1:8">
      <c r="A51" s="107"/>
      <c r="B51" s="108"/>
      <c r="C51" s="108"/>
      <c r="D51" s="108"/>
      <c r="E51" s="108"/>
      <c r="F51" s="108"/>
      <c r="G51" s="87"/>
      <c r="H51" s="87"/>
    </row>
    <row r="52" spans="1:8">
      <c r="G52" s="57" t="s">
        <v>174</v>
      </c>
      <c r="H52" s="57"/>
    </row>
    <row r="53" spans="1:8">
      <c r="G53" s="57"/>
      <c r="H53" s="57"/>
    </row>
    <row r="54" spans="1:8">
      <c r="G54" s="57"/>
      <c r="H54" s="57"/>
    </row>
    <row r="55" spans="1:8">
      <c r="G55" s="57"/>
      <c r="H55" s="57"/>
    </row>
    <row r="56" spans="1:8">
      <c r="G56" s="57"/>
      <c r="H56" s="57"/>
    </row>
    <row r="57" spans="1:8">
      <c r="G57" s="57"/>
      <c r="H57" s="57"/>
    </row>
    <row r="58" spans="1:8">
      <c r="G58" s="57"/>
      <c r="H58" s="57"/>
    </row>
    <row r="59" spans="1:8">
      <c r="G59" s="57"/>
      <c r="H59" s="57"/>
    </row>
    <row r="60" spans="1:8">
      <c r="G60" s="57"/>
      <c r="H60" s="57"/>
    </row>
    <row r="61" spans="1:8">
      <c r="G61" s="57"/>
      <c r="H61" s="57"/>
    </row>
    <row r="62" spans="1:8">
      <c r="G62" s="57"/>
      <c r="H62" s="57"/>
    </row>
    <row r="63" spans="1:8">
      <c r="G63" s="57"/>
      <c r="H63" s="57"/>
    </row>
    <row r="64" spans="1:8">
      <c r="G64" s="57"/>
      <c r="H64" s="57"/>
    </row>
    <row r="65" spans="7:8">
      <c r="G65" s="57"/>
      <c r="H65" s="57"/>
    </row>
    <row r="66" spans="7:8">
      <c r="G66" s="57"/>
      <c r="H66" s="57"/>
    </row>
    <row r="67" spans="7:8">
      <c r="G67" s="57"/>
      <c r="H67" s="57"/>
    </row>
    <row r="68" spans="7:8">
      <c r="G68" s="57"/>
      <c r="H68" s="57"/>
    </row>
    <row r="69" spans="7:8">
      <c r="G69" s="57"/>
      <c r="H69" s="57"/>
    </row>
    <row r="70" spans="7:8">
      <c r="G70" s="57"/>
      <c r="H70" s="57"/>
    </row>
    <row r="71" spans="7:8">
      <c r="G71" s="57"/>
      <c r="H71" s="57"/>
    </row>
    <row r="72" spans="7:8">
      <c r="G72" s="57"/>
      <c r="H72" s="57"/>
    </row>
    <row r="73" spans="7:8">
      <c r="G73" s="57"/>
      <c r="H73" s="57"/>
    </row>
    <row r="74" spans="7:8">
      <c r="G74" s="57"/>
      <c r="H74" s="57"/>
    </row>
    <row r="75" spans="7:8">
      <c r="G75" s="57"/>
      <c r="H75" s="57"/>
    </row>
    <row r="76" spans="7:8">
      <c r="G76" s="57"/>
      <c r="H76" s="57"/>
    </row>
    <row r="77" spans="7:8">
      <c r="G77" s="57"/>
      <c r="H77" s="57"/>
    </row>
    <row r="78" spans="7:8">
      <c r="G78" s="57"/>
      <c r="H78" s="57"/>
    </row>
    <row r="79" spans="7:8">
      <c r="G79" s="57"/>
      <c r="H79" s="57"/>
    </row>
    <row r="80" spans="7:8">
      <c r="G80" s="57"/>
      <c r="H80" s="57"/>
    </row>
    <row r="81" spans="7:8">
      <c r="G81" s="57"/>
      <c r="H81" s="57"/>
    </row>
    <row r="82" spans="7:8">
      <c r="G82" s="57"/>
      <c r="H82" s="57"/>
    </row>
    <row r="83" spans="7:8">
      <c r="G83" s="57"/>
      <c r="H83" s="57"/>
    </row>
    <row r="84" spans="7:8">
      <c r="G84" s="57"/>
      <c r="H84" s="57"/>
    </row>
    <row r="85" spans="7:8">
      <c r="G85" s="57"/>
      <c r="H85" s="57"/>
    </row>
    <row r="86" spans="7:8">
      <c r="G86" s="57"/>
      <c r="H86" s="57"/>
    </row>
    <row r="87" spans="7:8">
      <c r="G87" s="57"/>
      <c r="H87" s="57"/>
    </row>
    <row r="88" spans="7:8">
      <c r="G88" s="57"/>
      <c r="H88" s="57"/>
    </row>
    <row r="89" spans="7:8">
      <c r="G89" s="57"/>
      <c r="H89" s="57"/>
    </row>
    <row r="90" spans="7:8">
      <c r="G90" s="57"/>
      <c r="H90" s="57"/>
    </row>
    <row r="91" spans="7:8">
      <c r="G91" s="57"/>
      <c r="H91" s="57"/>
    </row>
    <row r="92" spans="7:8">
      <c r="G92" s="57"/>
      <c r="H92" s="57"/>
    </row>
    <row r="93" spans="7:8">
      <c r="G93" s="57"/>
      <c r="H93" s="57"/>
    </row>
    <row r="94" spans="7:8">
      <c r="G94" s="57"/>
      <c r="H94" s="57"/>
    </row>
    <row r="95" spans="7:8">
      <c r="G95" s="57"/>
      <c r="H95" s="57"/>
    </row>
    <row r="96" spans="7:8">
      <c r="G96" s="57"/>
      <c r="H96" s="57"/>
    </row>
    <row r="97" spans="7:8">
      <c r="G97" s="57"/>
      <c r="H97" s="57"/>
    </row>
    <row r="98" spans="7:8">
      <c r="G98" s="57"/>
      <c r="H98" s="57"/>
    </row>
    <row r="99" spans="7:8">
      <c r="G99" s="57"/>
      <c r="H99" s="57"/>
    </row>
    <row r="100" spans="7:8">
      <c r="G100" s="57"/>
      <c r="H100" s="57"/>
    </row>
    <row r="101" spans="7:8">
      <c r="G101" s="57"/>
      <c r="H101" s="57"/>
    </row>
    <row r="102" spans="7:8">
      <c r="G102" s="57"/>
      <c r="H102" s="57"/>
    </row>
    <row r="103" spans="7:8">
      <c r="G103" s="57"/>
      <c r="H103" s="57"/>
    </row>
    <row r="104" spans="7:8">
      <c r="G104" s="57"/>
      <c r="H104" s="57"/>
    </row>
    <row r="105" spans="7:8">
      <c r="G105" s="57"/>
      <c r="H105" s="57"/>
    </row>
    <row r="106" spans="7:8">
      <c r="G106" s="57"/>
      <c r="H106" s="57"/>
    </row>
    <row r="107" spans="7:8">
      <c r="G107" s="57"/>
      <c r="H107" s="57"/>
    </row>
    <row r="108" spans="7:8">
      <c r="G108" s="57"/>
      <c r="H108" s="57"/>
    </row>
    <row r="109" spans="7:8">
      <c r="G109" s="57"/>
      <c r="H109" s="57"/>
    </row>
    <row r="110" spans="7:8">
      <c r="G110" s="57"/>
      <c r="H110" s="57"/>
    </row>
    <row r="111" spans="7:8">
      <c r="G111" s="57"/>
      <c r="H111" s="57"/>
    </row>
    <row r="112" spans="7:8">
      <c r="G112" s="57"/>
      <c r="H112" s="57"/>
    </row>
    <row r="113" spans="7:8">
      <c r="G113" s="57"/>
      <c r="H113" s="57"/>
    </row>
    <row r="114" spans="7:8">
      <c r="G114" s="57"/>
      <c r="H114" s="57"/>
    </row>
    <row r="115" spans="7:8">
      <c r="G115" s="57"/>
      <c r="H115" s="57"/>
    </row>
    <row r="116" spans="7:8">
      <c r="G116" s="57"/>
      <c r="H116" s="57"/>
    </row>
    <row r="117" spans="7:8">
      <c r="G117" s="57"/>
      <c r="H117" s="57"/>
    </row>
    <row r="118" spans="7:8">
      <c r="G118" s="57"/>
      <c r="H118" s="57"/>
    </row>
    <row r="119" spans="7:8">
      <c r="G119" s="57"/>
      <c r="H119" s="57"/>
    </row>
    <row r="120" spans="7:8">
      <c r="G120" s="57"/>
      <c r="H120" s="57"/>
    </row>
    <row r="121" spans="7:8">
      <c r="G121" s="57"/>
      <c r="H121" s="57"/>
    </row>
    <row r="122" spans="7:8">
      <c r="G122" s="57"/>
      <c r="H122" s="57"/>
    </row>
    <row r="123" spans="7:8">
      <c r="G123" s="57"/>
      <c r="H123" s="57"/>
    </row>
    <row r="124" spans="7:8">
      <c r="G124" s="57"/>
      <c r="H124" s="57"/>
    </row>
    <row r="125" spans="7:8">
      <c r="G125" s="57"/>
      <c r="H125" s="57"/>
    </row>
    <row r="126" spans="7:8">
      <c r="G126" s="57"/>
      <c r="H126" s="57"/>
    </row>
    <row r="127" spans="7:8">
      <c r="G127" s="57"/>
      <c r="H127" s="57"/>
    </row>
    <row r="128" spans="7:8">
      <c r="G128" s="57"/>
      <c r="H128" s="57"/>
    </row>
    <row r="129" spans="7:8">
      <c r="G129" s="57"/>
      <c r="H129" s="57"/>
    </row>
    <row r="130" spans="7:8">
      <c r="G130" s="57"/>
      <c r="H130" s="57"/>
    </row>
    <row r="131" spans="7:8">
      <c r="G131" s="57"/>
      <c r="H131" s="57"/>
    </row>
    <row r="132" spans="7:8">
      <c r="G132" s="57"/>
      <c r="H132" s="57"/>
    </row>
    <row r="133" spans="7:8">
      <c r="G133" s="57"/>
      <c r="H133" s="57"/>
    </row>
    <row r="134" spans="7:8">
      <c r="G134" s="57"/>
      <c r="H134" s="57"/>
    </row>
    <row r="135" spans="7:8">
      <c r="G135" s="57"/>
      <c r="H135" s="57"/>
    </row>
    <row r="136" spans="7:8">
      <c r="G136" s="57"/>
      <c r="H136" s="57"/>
    </row>
    <row r="137" spans="7:8">
      <c r="G137" s="57"/>
      <c r="H137" s="57"/>
    </row>
    <row r="138" spans="7:8">
      <c r="G138" s="57"/>
      <c r="H138" s="57"/>
    </row>
    <row r="139" spans="7:8">
      <c r="G139" s="57"/>
      <c r="H139" s="57"/>
    </row>
    <row r="140" spans="7:8">
      <c r="G140" s="57"/>
      <c r="H140" s="57"/>
    </row>
    <row r="141" spans="7:8">
      <c r="G141" s="57"/>
      <c r="H141" s="57"/>
    </row>
    <row r="142" spans="7:8">
      <c r="G142" s="57"/>
      <c r="H142" s="57"/>
    </row>
    <row r="143" spans="7:8">
      <c r="G143" s="57"/>
      <c r="H143" s="57"/>
    </row>
    <row r="144" spans="7:8">
      <c r="G144" s="57"/>
      <c r="H144" s="57"/>
    </row>
    <row r="145" spans="7:8">
      <c r="G145" s="57"/>
      <c r="H145" s="57"/>
    </row>
    <row r="146" spans="7:8">
      <c r="G146" s="57"/>
      <c r="H146" s="57"/>
    </row>
    <row r="147" spans="7:8">
      <c r="G147" s="57"/>
      <c r="H147" s="57"/>
    </row>
    <row r="148" spans="7:8">
      <c r="G148" s="57"/>
      <c r="H148" s="57"/>
    </row>
    <row r="149" spans="7:8">
      <c r="G149" s="57"/>
      <c r="H149" s="57"/>
    </row>
    <row r="150" spans="7:8">
      <c r="G150" s="57"/>
      <c r="H150" s="57"/>
    </row>
    <row r="151" spans="7:8">
      <c r="G151" s="57"/>
      <c r="H151" s="57"/>
    </row>
    <row r="152" spans="7:8">
      <c r="G152" s="57"/>
      <c r="H152" s="57"/>
    </row>
    <row r="153" spans="7:8">
      <c r="G153" s="57"/>
      <c r="H153" s="57"/>
    </row>
    <row r="154" spans="7:8">
      <c r="G154" s="57"/>
      <c r="H154" s="57"/>
    </row>
    <row r="155" spans="7:8">
      <c r="G155" s="57"/>
      <c r="H155" s="57"/>
    </row>
    <row r="156" spans="7:8">
      <c r="G156" s="57"/>
      <c r="H156" s="57"/>
    </row>
    <row r="157" spans="7:8">
      <c r="G157" s="57"/>
      <c r="H157" s="57"/>
    </row>
    <row r="158" spans="7:8">
      <c r="G158" s="57"/>
      <c r="H158" s="57"/>
    </row>
    <row r="159" spans="7:8">
      <c r="G159" s="57"/>
      <c r="H159" s="57"/>
    </row>
    <row r="160" spans="7:8">
      <c r="G160" s="57"/>
      <c r="H160" s="57"/>
    </row>
    <row r="161" spans="7:8">
      <c r="G161" s="57"/>
      <c r="H161" s="57"/>
    </row>
    <row r="162" spans="7:8">
      <c r="G162" s="57"/>
      <c r="H162" s="57"/>
    </row>
    <row r="163" spans="7:8">
      <c r="G163" s="57"/>
      <c r="H163" s="57"/>
    </row>
    <row r="164" spans="7:8">
      <c r="G164" s="57"/>
      <c r="H164" s="57"/>
    </row>
    <row r="165" spans="7:8">
      <c r="G165" s="57"/>
      <c r="H165" s="57"/>
    </row>
    <row r="166" spans="7:8">
      <c r="G166" s="57"/>
      <c r="H166" s="57"/>
    </row>
    <row r="167" spans="7:8">
      <c r="G167" s="57"/>
      <c r="H167" s="57"/>
    </row>
    <row r="168" spans="7:8">
      <c r="G168" s="57"/>
      <c r="H168" s="57"/>
    </row>
    <row r="169" spans="7:8">
      <c r="G169" s="57"/>
      <c r="H169" s="57"/>
    </row>
    <row r="170" spans="7:8">
      <c r="G170" s="57"/>
      <c r="H170" s="57"/>
    </row>
    <row r="171" spans="7:8">
      <c r="G171" s="57"/>
      <c r="H171" s="57"/>
    </row>
    <row r="172" spans="7:8">
      <c r="G172" s="57"/>
      <c r="H172" s="57"/>
    </row>
    <row r="173" spans="7:8">
      <c r="G173" s="57"/>
      <c r="H173" s="57"/>
    </row>
    <row r="174" spans="7:8">
      <c r="G174" s="57"/>
      <c r="H174" s="57"/>
    </row>
    <row r="175" spans="7:8">
      <c r="G175" s="57"/>
      <c r="H175" s="57"/>
    </row>
    <row r="176" spans="7:8">
      <c r="G176" s="57"/>
      <c r="H176" s="57"/>
    </row>
    <row r="177" spans="7:8">
      <c r="G177" s="57"/>
      <c r="H177" s="57"/>
    </row>
    <row r="178" spans="7:8">
      <c r="G178" s="57"/>
      <c r="H178" s="57"/>
    </row>
    <row r="179" spans="7:8">
      <c r="G179" s="57"/>
      <c r="H179" s="57"/>
    </row>
    <row r="180" spans="7:8">
      <c r="G180" s="57"/>
      <c r="H180" s="57"/>
    </row>
    <row r="181" spans="7:8">
      <c r="G181" s="57"/>
      <c r="H181" s="57"/>
    </row>
    <row r="182" spans="7:8">
      <c r="G182" s="57"/>
      <c r="H182" s="57"/>
    </row>
    <row r="183" spans="7:8">
      <c r="G183" s="57"/>
      <c r="H183" s="57"/>
    </row>
    <row r="184" spans="7:8">
      <c r="G184" s="57"/>
      <c r="H184" s="57"/>
    </row>
    <row r="185" spans="7:8">
      <c r="G185" s="57"/>
      <c r="H185" s="57"/>
    </row>
    <row r="186" spans="7:8">
      <c r="G186" s="57"/>
      <c r="H186" s="57"/>
    </row>
    <row r="187" spans="7:8">
      <c r="G187" s="57"/>
      <c r="H187" s="57"/>
    </row>
    <row r="188" spans="7:8">
      <c r="G188" s="57"/>
      <c r="H188" s="57"/>
    </row>
    <row r="189" spans="7:8">
      <c r="G189" s="57"/>
      <c r="H189" s="57"/>
    </row>
    <row r="190" spans="7:8">
      <c r="G190" s="57"/>
      <c r="H190" s="57"/>
    </row>
    <row r="191" spans="7:8">
      <c r="G191" s="57"/>
      <c r="H191" s="57"/>
    </row>
    <row r="192" spans="7:8">
      <c r="G192" s="57"/>
      <c r="H192" s="57"/>
    </row>
    <row r="193" spans="7:8">
      <c r="G193" s="57"/>
      <c r="H193" s="57"/>
    </row>
    <row r="194" spans="7:8">
      <c r="G194" s="57"/>
      <c r="H194" s="57"/>
    </row>
    <row r="195" spans="7:8">
      <c r="G195" s="57"/>
      <c r="H195" s="57"/>
    </row>
    <row r="196" spans="7:8">
      <c r="G196" s="57"/>
      <c r="H196" s="57"/>
    </row>
    <row r="197" spans="7:8">
      <c r="G197" s="57"/>
      <c r="H197" s="57"/>
    </row>
    <row r="198" spans="7:8">
      <c r="G198" s="57"/>
      <c r="H198" s="57"/>
    </row>
    <row r="199" spans="7:8">
      <c r="G199" s="57"/>
      <c r="H199" s="57"/>
    </row>
    <row r="200" spans="7:8">
      <c r="G200" s="57"/>
      <c r="H200" s="57"/>
    </row>
    <row r="201" spans="7:8">
      <c r="G201" s="57"/>
      <c r="H201" s="57"/>
    </row>
    <row r="202" spans="7:8">
      <c r="G202" s="57"/>
      <c r="H202" s="57"/>
    </row>
    <row r="203" spans="7:8">
      <c r="G203" s="57"/>
      <c r="H203" s="57"/>
    </row>
    <row r="204" spans="7:8">
      <c r="G204" s="57"/>
      <c r="H204" s="57"/>
    </row>
    <row r="205" spans="7:8">
      <c r="G205" s="57"/>
      <c r="H205" s="57"/>
    </row>
    <row r="206" spans="7:8">
      <c r="G206" s="57"/>
      <c r="H206" s="57"/>
    </row>
    <row r="207" spans="7:8">
      <c r="G207" s="57"/>
      <c r="H207" s="57"/>
    </row>
    <row r="208" spans="7:8">
      <c r="G208" s="57"/>
      <c r="H208" s="57"/>
    </row>
    <row r="209" spans="7:8">
      <c r="G209" s="57"/>
      <c r="H209" s="57"/>
    </row>
    <row r="210" spans="7:8">
      <c r="G210" s="57"/>
      <c r="H210" s="57"/>
    </row>
    <row r="211" spans="7:8">
      <c r="G211" s="57"/>
      <c r="H211" s="57"/>
    </row>
    <row r="212" spans="7:8">
      <c r="G212" s="57"/>
      <c r="H212" s="57"/>
    </row>
    <row r="213" spans="7:8">
      <c r="G213" s="57"/>
      <c r="H213" s="57"/>
    </row>
    <row r="214" spans="7:8">
      <c r="G214" s="57"/>
      <c r="H214" s="57"/>
    </row>
    <row r="215" spans="7:8">
      <c r="G215" s="57"/>
      <c r="H215" s="57"/>
    </row>
    <row r="216" spans="7:8">
      <c r="G216" s="57"/>
      <c r="H216" s="57"/>
    </row>
    <row r="217" spans="7:8">
      <c r="G217" s="57"/>
      <c r="H217" s="57"/>
    </row>
    <row r="218" spans="7:8">
      <c r="G218" s="57"/>
      <c r="H218" s="57"/>
    </row>
    <row r="219" spans="7:8">
      <c r="G219" s="57"/>
      <c r="H219" s="57"/>
    </row>
    <row r="220" spans="7:8">
      <c r="G220" s="57"/>
      <c r="H220" s="57"/>
    </row>
    <row r="221" spans="7:8">
      <c r="G221" s="57"/>
      <c r="H221" s="57"/>
    </row>
    <row r="222" spans="7:8">
      <c r="G222" s="57"/>
      <c r="H222" s="57"/>
    </row>
    <row r="223" spans="7:8">
      <c r="G223" s="57"/>
      <c r="H223" s="57"/>
    </row>
    <row r="224" spans="7:8">
      <c r="G224" s="57"/>
      <c r="H224" s="57"/>
    </row>
    <row r="225" spans="7:8">
      <c r="G225" s="57"/>
      <c r="H225" s="57"/>
    </row>
    <row r="226" spans="7:8">
      <c r="G226" s="57"/>
      <c r="H226" s="57"/>
    </row>
    <row r="227" spans="7:8">
      <c r="G227" s="57"/>
      <c r="H227" s="57"/>
    </row>
    <row r="228" spans="7:8">
      <c r="G228" s="57"/>
      <c r="H228" s="57"/>
    </row>
    <row r="229" spans="7:8">
      <c r="G229" s="57"/>
      <c r="H229" s="57"/>
    </row>
    <row r="230" spans="7:8">
      <c r="G230" s="57"/>
      <c r="H230" s="57"/>
    </row>
    <row r="231" spans="7:8">
      <c r="G231" s="57"/>
      <c r="H231" s="57"/>
    </row>
    <row r="232" spans="7:8">
      <c r="G232" s="57"/>
      <c r="H232" s="57"/>
    </row>
    <row r="233" spans="7:8">
      <c r="G233" s="57"/>
      <c r="H233" s="57"/>
    </row>
    <row r="234" spans="7:8">
      <c r="G234" s="57"/>
      <c r="H234" s="57"/>
    </row>
    <row r="235" spans="7:8">
      <c r="G235" s="57"/>
      <c r="H235" s="57"/>
    </row>
    <row r="236" spans="7:8">
      <c r="G236" s="57"/>
      <c r="H236" s="57"/>
    </row>
    <row r="237" spans="7:8">
      <c r="G237" s="57"/>
      <c r="H237" s="57"/>
    </row>
    <row r="238" spans="7:8">
      <c r="G238" s="57"/>
      <c r="H238" s="57"/>
    </row>
    <row r="239" spans="7:8">
      <c r="G239" s="57"/>
      <c r="H239" s="57"/>
    </row>
    <row r="240" spans="7:8">
      <c r="G240" s="57"/>
      <c r="H240" s="57"/>
    </row>
    <row r="241" spans="7:8">
      <c r="G241" s="57"/>
      <c r="H241" s="57"/>
    </row>
    <row r="242" spans="7:8">
      <c r="G242" s="57"/>
      <c r="H242" s="57"/>
    </row>
    <row r="243" spans="7:8">
      <c r="G243" s="57"/>
      <c r="H243" s="57"/>
    </row>
    <row r="244" spans="7:8">
      <c r="G244" s="57"/>
      <c r="H244" s="57"/>
    </row>
    <row r="245" spans="7:8">
      <c r="G245" s="57"/>
      <c r="H245" s="57"/>
    </row>
    <row r="246" spans="7:8">
      <c r="G246" s="57"/>
      <c r="H246" s="57"/>
    </row>
    <row r="247" spans="7:8">
      <c r="G247" s="57"/>
      <c r="H247" s="57"/>
    </row>
    <row r="248" spans="7:8">
      <c r="G248" s="57"/>
      <c r="H248" s="57"/>
    </row>
    <row r="249" spans="7:8">
      <c r="G249" s="57"/>
      <c r="H249" s="57"/>
    </row>
    <row r="250" spans="7:8">
      <c r="G250" s="57"/>
      <c r="H250" s="57"/>
    </row>
    <row r="251" spans="7:8">
      <c r="G251" s="57"/>
      <c r="H251" s="57"/>
    </row>
    <row r="252" spans="7:8">
      <c r="G252" s="57"/>
      <c r="H252" s="57"/>
    </row>
    <row r="253" spans="7:8">
      <c r="G253" s="57"/>
      <c r="H253" s="57"/>
    </row>
    <row r="254" spans="7:8">
      <c r="G254" s="57"/>
      <c r="H254" s="57"/>
    </row>
    <row r="255" spans="7:8">
      <c r="G255" s="57"/>
      <c r="H255" s="57"/>
    </row>
    <row r="256" spans="7:8">
      <c r="G256" s="57"/>
      <c r="H256" s="57"/>
    </row>
    <row r="257" spans="7:8">
      <c r="G257" s="57"/>
      <c r="H257" s="57"/>
    </row>
    <row r="258" spans="7:8">
      <c r="G258" s="57"/>
      <c r="H258" s="57"/>
    </row>
    <row r="259" spans="7:8">
      <c r="G259" s="57"/>
      <c r="H259" s="57"/>
    </row>
    <row r="260" spans="7:8">
      <c r="G260" s="57"/>
      <c r="H260" s="57"/>
    </row>
    <row r="261" spans="7:8">
      <c r="G261" s="57"/>
      <c r="H261" s="57"/>
    </row>
    <row r="262" spans="7:8">
      <c r="G262" s="57"/>
      <c r="H262" s="57"/>
    </row>
    <row r="263" spans="7:8">
      <c r="G263" s="57"/>
      <c r="H263" s="57"/>
    </row>
    <row r="264" spans="7:8">
      <c r="G264" s="57"/>
      <c r="H264" s="57"/>
    </row>
    <row r="265" spans="7:8">
      <c r="G265" s="57"/>
      <c r="H265" s="57"/>
    </row>
    <row r="266" spans="7:8">
      <c r="G266" s="57"/>
      <c r="H266" s="57"/>
    </row>
    <row r="267" spans="7:8">
      <c r="G267" s="57"/>
      <c r="H267" s="57"/>
    </row>
    <row r="268" spans="7:8">
      <c r="G268" s="57"/>
      <c r="H268" s="57"/>
    </row>
    <row r="269" spans="7:8">
      <c r="G269" s="57"/>
      <c r="H269" s="57"/>
    </row>
    <row r="270" spans="7:8">
      <c r="G270" s="57"/>
      <c r="H270" s="57"/>
    </row>
    <row r="271" spans="7:8">
      <c r="G271" s="57"/>
      <c r="H271" s="57"/>
    </row>
    <row r="272" spans="7:8">
      <c r="G272" s="57"/>
      <c r="H272" s="57"/>
    </row>
    <row r="273" spans="7:8">
      <c r="G273" s="57"/>
      <c r="H273" s="57"/>
    </row>
    <row r="274" spans="7:8">
      <c r="G274" s="57"/>
      <c r="H274" s="57"/>
    </row>
    <row r="275" spans="7:8">
      <c r="G275" s="57"/>
      <c r="H275" s="57"/>
    </row>
    <row r="276" spans="7:8">
      <c r="G276" s="57"/>
      <c r="H276" s="57"/>
    </row>
    <row r="277" spans="7:8">
      <c r="G277" s="57"/>
      <c r="H277" s="57"/>
    </row>
    <row r="278" spans="7:8">
      <c r="G278" s="57"/>
      <c r="H278" s="57"/>
    </row>
    <row r="279" spans="7:8">
      <c r="G279" s="57"/>
      <c r="H279" s="57"/>
    </row>
    <row r="280" spans="7:8">
      <c r="G280" s="57"/>
      <c r="H280" s="57"/>
    </row>
    <row r="281" spans="7:8">
      <c r="G281" s="57"/>
      <c r="H281" s="57"/>
    </row>
    <row r="282" spans="7:8">
      <c r="G282" s="57"/>
      <c r="H282" s="57"/>
    </row>
    <row r="283" spans="7:8">
      <c r="G283" s="57"/>
      <c r="H283" s="57"/>
    </row>
    <row r="284" spans="7:8">
      <c r="G284" s="57"/>
      <c r="H284" s="57"/>
    </row>
    <row r="285" spans="7:8">
      <c r="G285" s="57"/>
      <c r="H285" s="57"/>
    </row>
    <row r="286" spans="7:8">
      <c r="G286" s="57"/>
      <c r="H286" s="57"/>
    </row>
    <row r="287" spans="7:8">
      <c r="G287" s="57"/>
      <c r="H287" s="57"/>
    </row>
    <row r="288" spans="7:8">
      <c r="G288" s="57"/>
      <c r="H288" s="57"/>
    </row>
    <row r="289" spans="7:8">
      <c r="G289" s="57"/>
      <c r="H289" s="57"/>
    </row>
    <row r="290" spans="7:8">
      <c r="G290" s="57"/>
      <c r="H290" s="57"/>
    </row>
    <row r="291" spans="7:8">
      <c r="G291" s="57"/>
      <c r="H291" s="57"/>
    </row>
    <row r="292" spans="7:8">
      <c r="G292" s="57"/>
      <c r="H292" s="57"/>
    </row>
    <row r="293" spans="7:8">
      <c r="G293" s="57"/>
      <c r="H293" s="57"/>
    </row>
    <row r="294" spans="7:8">
      <c r="G294" s="57"/>
      <c r="H294" s="57"/>
    </row>
    <row r="295" spans="7:8">
      <c r="G295" s="57"/>
      <c r="H295" s="57"/>
    </row>
    <row r="296" spans="7:8">
      <c r="G296" s="57"/>
      <c r="H296" s="57"/>
    </row>
    <row r="297" spans="7:8">
      <c r="G297" s="57"/>
      <c r="H297" s="57"/>
    </row>
    <row r="298" spans="7:8">
      <c r="G298" s="57"/>
      <c r="H298" s="57"/>
    </row>
    <row r="299" spans="7:8">
      <c r="G299" s="57"/>
      <c r="H299" s="57"/>
    </row>
    <row r="300" spans="7:8">
      <c r="G300" s="57"/>
      <c r="H300" s="57"/>
    </row>
    <row r="301" spans="7:8">
      <c r="G301" s="57"/>
      <c r="H301" s="57"/>
    </row>
    <row r="302" spans="7:8">
      <c r="G302" s="57"/>
      <c r="H302" s="57"/>
    </row>
    <row r="303" spans="7:8">
      <c r="G303" s="57"/>
      <c r="H303" s="57"/>
    </row>
    <row r="304" spans="7:8">
      <c r="G304" s="57"/>
      <c r="H304" s="57"/>
    </row>
    <row r="305" spans="7:8">
      <c r="G305" s="57"/>
      <c r="H305" s="57"/>
    </row>
    <row r="306" spans="7:8">
      <c r="G306" s="57"/>
      <c r="H306" s="57"/>
    </row>
    <row r="307" spans="7:8">
      <c r="G307" s="57"/>
      <c r="H307" s="57"/>
    </row>
    <row r="308" spans="7:8">
      <c r="G308" s="57"/>
      <c r="H308" s="57"/>
    </row>
    <row r="309" spans="7:8">
      <c r="G309" s="57"/>
      <c r="H309" s="57"/>
    </row>
    <row r="310" spans="7:8">
      <c r="G310" s="57"/>
      <c r="H310" s="57"/>
    </row>
    <row r="311" spans="7:8">
      <c r="G311" s="57"/>
      <c r="H311" s="57"/>
    </row>
    <row r="312" spans="7:8">
      <c r="G312" s="57"/>
      <c r="H312" s="57"/>
    </row>
    <row r="313" spans="7:8">
      <c r="G313" s="57"/>
      <c r="H313" s="57"/>
    </row>
    <row r="314" spans="7:8">
      <c r="G314" s="57"/>
      <c r="H314" s="57"/>
    </row>
    <row r="315" spans="7:8">
      <c r="G315" s="57"/>
      <c r="H315" s="57"/>
    </row>
    <row r="316" spans="7:8">
      <c r="G316" s="57"/>
      <c r="H316" s="57"/>
    </row>
    <row r="317" spans="7:8">
      <c r="G317" s="57"/>
      <c r="H317" s="57"/>
    </row>
    <row r="318" spans="7:8">
      <c r="G318" s="57"/>
      <c r="H318" s="57"/>
    </row>
    <row r="319" spans="7:8">
      <c r="G319" s="57"/>
      <c r="H319" s="57"/>
    </row>
    <row r="320" spans="7:8">
      <c r="G320" s="57"/>
      <c r="H320" s="57"/>
    </row>
    <row r="321" spans="7:8">
      <c r="G321" s="57"/>
      <c r="H321" s="57"/>
    </row>
    <row r="322" spans="7:8">
      <c r="G322" s="57"/>
      <c r="H322" s="57"/>
    </row>
    <row r="323" spans="7:8">
      <c r="G323" s="57"/>
      <c r="H323" s="57"/>
    </row>
    <row r="324" spans="7:8">
      <c r="G324" s="57"/>
      <c r="H324" s="57"/>
    </row>
    <row r="325" spans="7:8">
      <c r="G325" s="57"/>
      <c r="H325" s="57"/>
    </row>
    <row r="326" spans="7:8">
      <c r="G326" s="57"/>
      <c r="H326" s="57"/>
    </row>
    <row r="327" spans="7:8">
      <c r="G327" s="57"/>
      <c r="H327" s="57"/>
    </row>
    <row r="328" spans="7:8">
      <c r="G328" s="57"/>
      <c r="H328" s="57"/>
    </row>
    <row r="329" spans="7:8">
      <c r="G329" s="57"/>
      <c r="H329" s="57"/>
    </row>
    <row r="330" spans="7:8">
      <c r="G330" s="57"/>
      <c r="H330" s="57"/>
    </row>
    <row r="331" spans="7:8">
      <c r="G331" s="57"/>
      <c r="H331" s="57"/>
    </row>
    <row r="332" spans="7:8">
      <c r="G332" s="57"/>
      <c r="H332" s="57"/>
    </row>
    <row r="333" spans="7:8">
      <c r="G333" s="57"/>
      <c r="H333" s="57"/>
    </row>
    <row r="334" spans="7:8">
      <c r="G334" s="57"/>
      <c r="H334" s="57"/>
    </row>
    <row r="335" spans="7:8">
      <c r="G335" s="57"/>
      <c r="H335" s="57"/>
    </row>
    <row r="336" spans="7:8">
      <c r="G336" s="57"/>
      <c r="H336" s="57"/>
    </row>
    <row r="337" spans="7:8">
      <c r="G337" s="57"/>
      <c r="H337" s="57"/>
    </row>
    <row r="338" spans="7:8">
      <c r="G338" s="57"/>
      <c r="H338" s="57"/>
    </row>
    <row r="339" spans="7:8">
      <c r="G339" s="57"/>
      <c r="H339" s="57"/>
    </row>
    <row r="340" spans="7:8">
      <c r="G340" s="57"/>
      <c r="H340" s="57"/>
    </row>
    <row r="341" spans="7:8">
      <c r="G341" s="57"/>
      <c r="H341" s="57"/>
    </row>
    <row r="342" spans="7:8">
      <c r="G342" s="57"/>
      <c r="H342" s="57"/>
    </row>
    <row r="343" spans="7:8">
      <c r="G343" s="57"/>
      <c r="H343" s="57"/>
    </row>
    <row r="344" spans="7:8">
      <c r="G344" s="57"/>
      <c r="H344" s="57"/>
    </row>
    <row r="345" spans="7:8">
      <c r="G345" s="57"/>
      <c r="H345" s="57"/>
    </row>
    <row r="346" spans="7:8">
      <c r="G346" s="57"/>
      <c r="H346" s="57"/>
    </row>
    <row r="347" spans="7:8">
      <c r="G347" s="57"/>
      <c r="H347" s="57"/>
    </row>
    <row r="348" spans="7:8">
      <c r="G348" s="57"/>
      <c r="H348" s="57"/>
    </row>
    <row r="349" spans="7:8">
      <c r="G349" s="57"/>
      <c r="H349" s="57"/>
    </row>
    <row r="350" spans="7:8">
      <c r="G350" s="57"/>
      <c r="H350" s="57"/>
    </row>
    <row r="351" spans="7:8">
      <c r="G351" s="57"/>
      <c r="H351" s="57"/>
    </row>
    <row r="352" spans="7:8">
      <c r="G352" s="57"/>
      <c r="H352" s="57"/>
    </row>
    <row r="353" spans="7:8">
      <c r="G353" s="57"/>
      <c r="H353" s="57"/>
    </row>
    <row r="354" spans="7:8">
      <c r="G354" s="57"/>
      <c r="H354" s="57"/>
    </row>
    <row r="355" spans="7:8">
      <c r="G355" s="57"/>
      <c r="H355" s="57"/>
    </row>
    <row r="356" spans="7:8">
      <c r="G356" s="57"/>
      <c r="H356" s="57"/>
    </row>
    <row r="357" spans="7:8">
      <c r="G357" s="57"/>
      <c r="H357" s="57"/>
    </row>
    <row r="358" spans="7:8">
      <c r="G358" s="57"/>
      <c r="H358" s="57"/>
    </row>
    <row r="359" spans="7:8">
      <c r="G359" s="57"/>
      <c r="H359" s="57"/>
    </row>
    <row r="360" spans="7:8">
      <c r="G360" s="57"/>
      <c r="H360" s="57"/>
    </row>
    <row r="361" spans="7:8">
      <c r="G361" s="57"/>
      <c r="H361" s="57"/>
    </row>
    <row r="362" spans="7:8">
      <c r="G362" s="57"/>
      <c r="H362" s="57"/>
    </row>
    <row r="363" spans="7:8">
      <c r="G363" s="57"/>
      <c r="H363" s="57"/>
    </row>
    <row r="364" spans="7:8">
      <c r="G364" s="57"/>
      <c r="H364" s="57"/>
    </row>
    <row r="365" spans="7:8">
      <c r="G365" s="57"/>
      <c r="H365" s="57"/>
    </row>
    <row r="366" spans="7:8">
      <c r="G366" s="57"/>
      <c r="H366" s="57"/>
    </row>
    <row r="367" spans="7:8">
      <c r="G367" s="57"/>
      <c r="H367" s="57"/>
    </row>
    <row r="368" spans="7:8">
      <c r="G368" s="57"/>
      <c r="H368" s="57"/>
    </row>
    <row r="369" spans="7:8">
      <c r="G369" s="57"/>
      <c r="H369" s="57"/>
    </row>
    <row r="370" spans="7:8">
      <c r="G370" s="57"/>
      <c r="H370" s="57"/>
    </row>
    <row r="371" spans="7:8">
      <c r="G371" s="57"/>
      <c r="H371" s="57"/>
    </row>
    <row r="372" spans="7:8">
      <c r="G372" s="57"/>
      <c r="H372" s="57"/>
    </row>
    <row r="373" spans="7:8">
      <c r="G373" s="57"/>
      <c r="H373" s="57"/>
    </row>
    <row r="374" spans="7:8">
      <c r="G374" s="57"/>
      <c r="H374" s="57"/>
    </row>
    <row r="375" spans="7:8">
      <c r="G375" s="57"/>
      <c r="H375" s="57"/>
    </row>
    <row r="376" spans="7:8">
      <c r="G376" s="57"/>
      <c r="H376" s="57"/>
    </row>
    <row r="377" spans="7:8">
      <c r="G377" s="57"/>
      <c r="H377" s="57"/>
    </row>
    <row r="378" spans="7:8">
      <c r="G378" s="57"/>
      <c r="H378" s="57"/>
    </row>
    <row r="379" spans="7:8">
      <c r="G379" s="57"/>
      <c r="H379" s="57"/>
    </row>
    <row r="380" spans="7:8">
      <c r="G380" s="57"/>
      <c r="H380" s="57"/>
    </row>
    <row r="381" spans="7:8">
      <c r="G381" s="57"/>
      <c r="H381" s="57"/>
    </row>
    <row r="382" spans="7:8">
      <c r="G382" s="57"/>
      <c r="H382" s="57"/>
    </row>
    <row r="383" spans="7:8">
      <c r="G383" s="57"/>
      <c r="H383" s="57"/>
    </row>
    <row r="384" spans="7:8">
      <c r="G384" s="57"/>
      <c r="H384" s="57"/>
    </row>
    <row r="385" spans="7:8">
      <c r="G385" s="57"/>
      <c r="H385" s="57"/>
    </row>
    <row r="386" spans="7:8">
      <c r="G386" s="57"/>
      <c r="H386" s="57"/>
    </row>
    <row r="387" spans="7:8">
      <c r="G387" s="57"/>
      <c r="H387" s="57"/>
    </row>
    <row r="388" spans="7:8">
      <c r="G388" s="57"/>
      <c r="H388" s="57"/>
    </row>
    <row r="389" spans="7:8">
      <c r="G389" s="57"/>
      <c r="H389" s="57"/>
    </row>
    <row r="390" spans="7:8">
      <c r="G390" s="57"/>
      <c r="H390" s="57"/>
    </row>
    <row r="391" spans="7:8">
      <c r="G391" s="57"/>
      <c r="H391" s="57"/>
    </row>
    <row r="392" spans="7:8">
      <c r="G392" s="57"/>
      <c r="H392" s="57"/>
    </row>
    <row r="393" spans="7:8">
      <c r="G393" s="57"/>
      <c r="H393" s="57"/>
    </row>
    <row r="394" spans="7:8">
      <c r="G394" s="57"/>
      <c r="H394" s="57"/>
    </row>
    <row r="395" spans="7:8">
      <c r="G395" s="57"/>
      <c r="H395" s="57"/>
    </row>
    <row r="396" spans="7:8">
      <c r="G396" s="57"/>
      <c r="H396" s="57"/>
    </row>
    <row r="397" spans="7:8">
      <c r="G397" s="57"/>
      <c r="H397" s="57"/>
    </row>
    <row r="398" spans="7:8">
      <c r="G398" s="57"/>
      <c r="H398" s="57"/>
    </row>
    <row r="399" spans="7:8">
      <c r="G399" s="57"/>
      <c r="H399" s="57"/>
    </row>
    <row r="400" spans="7:8">
      <c r="G400" s="57"/>
      <c r="H400" s="57"/>
    </row>
    <row r="401" spans="7:8">
      <c r="G401" s="57"/>
      <c r="H401" s="57"/>
    </row>
    <row r="402" spans="7:8">
      <c r="G402" s="57"/>
      <c r="H402" s="57"/>
    </row>
    <row r="403" spans="7:8">
      <c r="G403" s="57"/>
      <c r="H403" s="57"/>
    </row>
    <row r="404" spans="7:8">
      <c r="G404" s="57"/>
      <c r="H404" s="57"/>
    </row>
    <row r="405" spans="7:8">
      <c r="G405" s="57"/>
      <c r="H405" s="57"/>
    </row>
    <row r="406" spans="7:8">
      <c r="G406" s="57"/>
      <c r="H406" s="57"/>
    </row>
    <row r="407" spans="7:8">
      <c r="G407" s="57"/>
      <c r="H407" s="57"/>
    </row>
    <row r="408" spans="7:8">
      <c r="G408" s="57"/>
      <c r="H408" s="57"/>
    </row>
    <row r="409" spans="7:8">
      <c r="G409" s="57"/>
      <c r="H409" s="57"/>
    </row>
    <row r="410" spans="7:8">
      <c r="G410" s="57"/>
      <c r="H410" s="57"/>
    </row>
    <row r="411" spans="7:8">
      <c r="G411" s="57"/>
      <c r="H411" s="57"/>
    </row>
    <row r="412" spans="7:8">
      <c r="G412" s="57"/>
      <c r="H412" s="57"/>
    </row>
    <row r="413" spans="7:8">
      <c r="G413" s="57"/>
      <c r="H413" s="57"/>
    </row>
    <row r="414" spans="7:8">
      <c r="G414" s="57"/>
      <c r="H414" s="57"/>
    </row>
    <row r="415" spans="7:8">
      <c r="G415" s="57"/>
      <c r="H415" s="57"/>
    </row>
    <row r="416" spans="7:8">
      <c r="G416" s="57"/>
      <c r="H416" s="57"/>
    </row>
    <row r="417" spans="7:8">
      <c r="G417" s="57"/>
      <c r="H417" s="57"/>
    </row>
    <row r="418" spans="7:8">
      <c r="G418" s="57"/>
      <c r="H418" s="57"/>
    </row>
    <row r="419" spans="7:8">
      <c r="G419" s="57"/>
      <c r="H419" s="57"/>
    </row>
    <row r="420" spans="7:8">
      <c r="G420" s="57"/>
      <c r="H420" s="57"/>
    </row>
    <row r="421" spans="7:8">
      <c r="G421" s="57"/>
      <c r="H421" s="57"/>
    </row>
    <row r="422" spans="7:8">
      <c r="G422" s="57"/>
      <c r="H422" s="57"/>
    </row>
    <row r="423" spans="7:8">
      <c r="G423" s="57"/>
      <c r="H423" s="57"/>
    </row>
    <row r="424" spans="7:8">
      <c r="G424" s="57"/>
      <c r="H424" s="57"/>
    </row>
    <row r="425" spans="7:8">
      <c r="G425" s="57"/>
      <c r="H425" s="57"/>
    </row>
    <row r="426" spans="7:8">
      <c r="G426" s="57"/>
      <c r="H426" s="57"/>
    </row>
    <row r="427" spans="7:8">
      <c r="G427" s="57"/>
      <c r="H427" s="57"/>
    </row>
    <row r="428" spans="7:8">
      <c r="G428" s="57"/>
      <c r="H428" s="57"/>
    </row>
    <row r="429" spans="7:8">
      <c r="G429" s="57"/>
      <c r="H429" s="57"/>
    </row>
    <row r="430" spans="7:8">
      <c r="G430" s="57"/>
      <c r="H430" s="57"/>
    </row>
    <row r="431" spans="7:8">
      <c r="G431" s="57"/>
      <c r="H431" s="57"/>
    </row>
    <row r="432" spans="7:8">
      <c r="G432" s="57"/>
      <c r="H432" s="57"/>
    </row>
    <row r="433" spans="7:8">
      <c r="G433" s="57"/>
      <c r="H433" s="57"/>
    </row>
    <row r="434" spans="7:8">
      <c r="G434" s="57"/>
      <c r="H434" s="57"/>
    </row>
    <row r="435" spans="7:8">
      <c r="G435" s="57"/>
      <c r="H435" s="57"/>
    </row>
    <row r="436" spans="7:8">
      <c r="G436" s="57"/>
      <c r="H436" s="57"/>
    </row>
    <row r="437" spans="7:8">
      <c r="G437" s="57"/>
      <c r="H437" s="57"/>
    </row>
    <row r="438" spans="7:8">
      <c r="G438" s="57"/>
      <c r="H438" s="57"/>
    </row>
    <row r="439" spans="7:8">
      <c r="G439" s="57"/>
      <c r="H439" s="57"/>
    </row>
    <row r="440" spans="7:8">
      <c r="G440" s="57"/>
      <c r="H440" s="57"/>
    </row>
    <row r="441" spans="7:8">
      <c r="G441" s="57"/>
      <c r="H441" s="57"/>
    </row>
    <row r="442" spans="7:8">
      <c r="G442" s="57"/>
      <c r="H442" s="57"/>
    </row>
    <row r="443" spans="7:8">
      <c r="G443" s="57"/>
      <c r="H443" s="57"/>
    </row>
    <row r="444" spans="7:8">
      <c r="G444" s="57"/>
      <c r="H444" s="57"/>
    </row>
    <row r="445" spans="7:8">
      <c r="G445" s="57"/>
      <c r="H445" s="57"/>
    </row>
    <row r="446" spans="7:8">
      <c r="G446" s="57"/>
      <c r="H446" s="57"/>
    </row>
    <row r="447" spans="7:8">
      <c r="G447" s="57"/>
      <c r="H447" s="57"/>
    </row>
    <row r="448" spans="7:8">
      <c r="G448" s="57"/>
      <c r="H448" s="57"/>
    </row>
    <row r="449" spans="7:8">
      <c r="G449" s="57"/>
      <c r="H449" s="57"/>
    </row>
    <row r="450" spans="7:8">
      <c r="G450" s="57"/>
      <c r="H450" s="57"/>
    </row>
    <row r="451" spans="7:8">
      <c r="G451" s="57"/>
      <c r="H451" s="57"/>
    </row>
    <row r="452" spans="7:8">
      <c r="G452" s="57"/>
      <c r="H452" s="57"/>
    </row>
    <row r="453" spans="7:8">
      <c r="G453" s="57"/>
      <c r="H453" s="57"/>
    </row>
    <row r="454" spans="7:8">
      <c r="G454" s="57"/>
      <c r="H454" s="57"/>
    </row>
    <row r="455" spans="7:8">
      <c r="G455" s="57"/>
      <c r="H455" s="57"/>
    </row>
    <row r="456" spans="7:8">
      <c r="G456" s="57"/>
      <c r="H456" s="57"/>
    </row>
    <row r="457" spans="7:8">
      <c r="G457" s="57"/>
      <c r="H457" s="57"/>
    </row>
    <row r="458" spans="7:8">
      <c r="G458" s="57"/>
      <c r="H458" s="57"/>
    </row>
    <row r="459" spans="7:8">
      <c r="G459" s="57"/>
      <c r="H459" s="57"/>
    </row>
    <row r="460" spans="7:8">
      <c r="G460" s="57"/>
      <c r="H460" s="57"/>
    </row>
    <row r="461" spans="7:8">
      <c r="G461" s="57"/>
      <c r="H461" s="57"/>
    </row>
    <row r="462" spans="7:8">
      <c r="G462" s="57"/>
      <c r="H462" s="57"/>
    </row>
    <row r="463" spans="7:8">
      <c r="G463" s="57"/>
      <c r="H463" s="57"/>
    </row>
    <row r="464" spans="7:8">
      <c r="G464" s="57"/>
      <c r="H464" s="57"/>
    </row>
    <row r="465" spans="7:8">
      <c r="G465" s="57"/>
      <c r="H465" s="57"/>
    </row>
    <row r="466" spans="7:8">
      <c r="G466" s="57"/>
      <c r="H466" s="57"/>
    </row>
    <row r="467" spans="7:8">
      <c r="G467" s="57"/>
      <c r="H467" s="57"/>
    </row>
    <row r="468" spans="7:8">
      <c r="G468" s="57"/>
      <c r="H468" s="57"/>
    </row>
    <row r="469" spans="7:8">
      <c r="G469" s="57"/>
      <c r="H469" s="57"/>
    </row>
    <row r="470" spans="7:8">
      <c r="G470" s="57"/>
      <c r="H470" s="57"/>
    </row>
    <row r="471" spans="7:8">
      <c r="G471" s="57"/>
      <c r="H471" s="57"/>
    </row>
    <row r="472" spans="7:8">
      <c r="G472" s="57"/>
      <c r="H472" s="57"/>
    </row>
    <row r="473" spans="7:8">
      <c r="G473" s="57"/>
      <c r="H473" s="57"/>
    </row>
    <row r="474" spans="7:8">
      <c r="G474" s="57"/>
      <c r="H474" s="57"/>
    </row>
    <row r="475" spans="7:8">
      <c r="G475" s="57"/>
      <c r="H475" s="57"/>
    </row>
    <row r="476" spans="7:8">
      <c r="G476" s="57"/>
      <c r="H476" s="57"/>
    </row>
    <row r="477" spans="7:8">
      <c r="G477" s="57"/>
      <c r="H477" s="57"/>
    </row>
    <row r="478" spans="7:8">
      <c r="G478" s="57"/>
      <c r="H478" s="57"/>
    </row>
    <row r="479" spans="7:8">
      <c r="G479" s="57"/>
      <c r="H479" s="57"/>
    </row>
    <row r="480" spans="7:8">
      <c r="G480" s="57"/>
      <c r="H480" s="57"/>
    </row>
    <row r="481" spans="7:8">
      <c r="G481" s="57"/>
      <c r="H481" s="57"/>
    </row>
    <row r="482" spans="7:8">
      <c r="G482" s="57"/>
      <c r="H482" s="57"/>
    </row>
    <row r="483" spans="7:8">
      <c r="G483" s="57"/>
      <c r="H483" s="57"/>
    </row>
    <row r="484" spans="7:8">
      <c r="G484" s="57"/>
      <c r="H484" s="57"/>
    </row>
    <row r="485" spans="7:8">
      <c r="G485" s="57"/>
      <c r="H485" s="57"/>
    </row>
    <row r="486" spans="7:8">
      <c r="G486" s="57"/>
      <c r="H486" s="57"/>
    </row>
    <row r="487" spans="7:8">
      <c r="G487" s="57"/>
      <c r="H487" s="57"/>
    </row>
    <row r="488" spans="7:8">
      <c r="G488" s="57"/>
      <c r="H488" s="57"/>
    </row>
    <row r="489" spans="7:8">
      <c r="G489" s="57"/>
      <c r="H489" s="57"/>
    </row>
    <row r="490" spans="7:8">
      <c r="G490" s="57"/>
      <c r="H490" s="57"/>
    </row>
    <row r="491" spans="7:8">
      <c r="G491" s="57"/>
      <c r="H491" s="57"/>
    </row>
    <row r="492" spans="7:8">
      <c r="G492" s="57"/>
      <c r="H492" s="57"/>
    </row>
    <row r="493" spans="7:8">
      <c r="G493" s="57"/>
      <c r="H493" s="57"/>
    </row>
    <row r="494" spans="7:8">
      <c r="G494" s="57"/>
      <c r="H494" s="57"/>
    </row>
    <row r="495" spans="7:8">
      <c r="G495" s="57"/>
      <c r="H495" s="57"/>
    </row>
    <row r="496" spans="7:8">
      <c r="G496" s="57"/>
      <c r="H496" s="57"/>
    </row>
    <row r="497" spans="7:8">
      <c r="G497" s="57"/>
      <c r="H497" s="57"/>
    </row>
    <row r="498" spans="7:8">
      <c r="G498" s="57"/>
      <c r="H498" s="57"/>
    </row>
    <row r="499" spans="7:8">
      <c r="G499" s="57"/>
      <c r="H499" s="57"/>
    </row>
    <row r="500" spans="7:8">
      <c r="G500" s="57"/>
      <c r="H500" s="57"/>
    </row>
    <row r="501" spans="7:8">
      <c r="G501" s="57"/>
      <c r="H501" s="57"/>
    </row>
    <row r="502" spans="7:8">
      <c r="G502" s="57"/>
      <c r="H502" s="57"/>
    </row>
    <row r="503" spans="7:8">
      <c r="G503" s="57"/>
      <c r="H503" s="57"/>
    </row>
    <row r="504" spans="7:8">
      <c r="G504" s="57"/>
      <c r="H504" s="57"/>
    </row>
    <row r="505" spans="7:8">
      <c r="G505" s="57"/>
      <c r="H505" s="57"/>
    </row>
    <row r="506" spans="7:8">
      <c r="G506" s="57"/>
      <c r="H506" s="57"/>
    </row>
    <row r="507" spans="7:8">
      <c r="G507" s="57"/>
      <c r="H507" s="57"/>
    </row>
    <row r="508" spans="7:8">
      <c r="G508" s="57"/>
      <c r="H508" s="57"/>
    </row>
    <row r="509" spans="7:8">
      <c r="G509" s="57"/>
      <c r="H509" s="57"/>
    </row>
    <row r="510" spans="7:8">
      <c r="G510" s="57"/>
      <c r="H510" s="57"/>
    </row>
    <row r="511" spans="7:8">
      <c r="G511" s="57"/>
      <c r="H511" s="57"/>
    </row>
    <row r="512" spans="7:8">
      <c r="G512" s="57"/>
      <c r="H512" s="57"/>
    </row>
    <row r="513" spans="7:8">
      <c r="G513" s="57"/>
      <c r="H513" s="57"/>
    </row>
    <row r="514" spans="7:8">
      <c r="G514" s="57"/>
      <c r="H514" s="57"/>
    </row>
    <row r="515" spans="7:8">
      <c r="G515" s="57"/>
      <c r="H515" s="57"/>
    </row>
    <row r="516" spans="7:8">
      <c r="G516" s="57"/>
      <c r="H516" s="57"/>
    </row>
    <row r="517" spans="7:8">
      <c r="G517" s="57"/>
      <c r="H517" s="57"/>
    </row>
    <row r="518" spans="7:8">
      <c r="G518" s="57"/>
      <c r="H518" s="57"/>
    </row>
    <row r="519" spans="7:8">
      <c r="G519" s="57"/>
      <c r="H519" s="57"/>
    </row>
    <row r="520" spans="7:8">
      <c r="G520" s="57"/>
      <c r="H520" s="57"/>
    </row>
    <row r="521" spans="7:8">
      <c r="G521" s="57"/>
      <c r="H521" s="57"/>
    </row>
    <row r="522" spans="7:8">
      <c r="G522" s="57"/>
      <c r="H522" s="57"/>
    </row>
    <row r="523" spans="7:8">
      <c r="G523" s="57"/>
      <c r="H523" s="57"/>
    </row>
    <row r="524" spans="7:8">
      <c r="G524" s="57"/>
      <c r="H524" s="57"/>
    </row>
    <row r="525" spans="7:8">
      <c r="G525" s="57"/>
      <c r="H525" s="57"/>
    </row>
    <row r="526" spans="7:8">
      <c r="G526" s="57"/>
      <c r="H526" s="57"/>
    </row>
    <row r="527" spans="7:8">
      <c r="G527" s="57"/>
      <c r="H527" s="57"/>
    </row>
    <row r="528" spans="7:8">
      <c r="G528" s="57"/>
      <c r="H528" s="57"/>
    </row>
    <row r="529" spans="7:8">
      <c r="G529" s="57"/>
      <c r="H529" s="57"/>
    </row>
    <row r="530" spans="7:8">
      <c r="G530" s="57"/>
      <c r="H530" s="57"/>
    </row>
    <row r="531" spans="7:8">
      <c r="G531" s="57"/>
      <c r="H531" s="57"/>
    </row>
    <row r="532" spans="7:8">
      <c r="G532" s="57"/>
      <c r="H532" s="57"/>
    </row>
    <row r="533" spans="7:8">
      <c r="G533" s="57"/>
      <c r="H533" s="57"/>
    </row>
    <row r="534" spans="7:8">
      <c r="G534" s="57"/>
      <c r="H534" s="57"/>
    </row>
    <row r="535" spans="7:8">
      <c r="G535" s="57"/>
      <c r="H535" s="57"/>
    </row>
    <row r="536" spans="7:8">
      <c r="G536" s="57"/>
      <c r="H536" s="57"/>
    </row>
    <row r="537" spans="7:8">
      <c r="G537" s="57"/>
      <c r="H537" s="57"/>
    </row>
    <row r="538" spans="7:8">
      <c r="G538" s="57"/>
      <c r="H538" s="57"/>
    </row>
    <row r="539" spans="7:8">
      <c r="G539" s="57"/>
      <c r="H539" s="57"/>
    </row>
    <row r="540" spans="7:8">
      <c r="G540" s="57"/>
      <c r="H540" s="57"/>
    </row>
    <row r="541" spans="7:8">
      <c r="G541" s="57"/>
      <c r="H541" s="57"/>
    </row>
    <row r="542" spans="7:8">
      <c r="G542" s="57"/>
      <c r="H542" s="57"/>
    </row>
    <row r="543" spans="7:8">
      <c r="G543" s="57"/>
      <c r="H543" s="57"/>
    </row>
    <row r="544" spans="7:8">
      <c r="G544" s="57"/>
      <c r="H544" s="57"/>
    </row>
    <row r="545" spans="7:8">
      <c r="G545" s="57"/>
      <c r="H545" s="57"/>
    </row>
    <row r="546" spans="7:8">
      <c r="G546" s="57"/>
      <c r="H546" s="57"/>
    </row>
    <row r="547" spans="7:8">
      <c r="G547" s="57"/>
      <c r="H547" s="57"/>
    </row>
    <row r="548" spans="7:8">
      <c r="G548" s="57"/>
      <c r="H548" s="57"/>
    </row>
    <row r="549" spans="7:8">
      <c r="G549" s="57"/>
      <c r="H549" s="57"/>
    </row>
    <row r="550" spans="7:8">
      <c r="G550" s="57"/>
      <c r="H550" s="57"/>
    </row>
    <row r="551" spans="7:8">
      <c r="G551" s="57"/>
      <c r="H551" s="57"/>
    </row>
    <row r="552" spans="7:8">
      <c r="G552" s="57"/>
      <c r="H552" s="57"/>
    </row>
    <row r="553" spans="7:8">
      <c r="G553" s="57"/>
      <c r="H553" s="57"/>
    </row>
    <row r="554" spans="7:8">
      <c r="G554" s="57"/>
      <c r="H554" s="57"/>
    </row>
    <row r="555" spans="7:8">
      <c r="G555" s="57"/>
      <c r="H555" s="57"/>
    </row>
    <row r="556" spans="7:8">
      <c r="G556" s="57"/>
      <c r="H556" s="57"/>
    </row>
    <row r="557" spans="7:8">
      <c r="G557" s="57"/>
      <c r="H557" s="57"/>
    </row>
    <row r="558" spans="7:8">
      <c r="G558" s="57"/>
      <c r="H558" s="57"/>
    </row>
    <row r="559" spans="7:8">
      <c r="G559" s="57"/>
      <c r="H559" s="57"/>
    </row>
    <row r="560" spans="7:8">
      <c r="G560" s="57"/>
      <c r="H560" s="57"/>
    </row>
    <row r="561" spans="7:8">
      <c r="G561" s="57"/>
      <c r="H561" s="57"/>
    </row>
    <row r="562" spans="7:8">
      <c r="G562" s="57"/>
      <c r="H562" s="57"/>
    </row>
    <row r="563" spans="7:8">
      <c r="G563" s="57"/>
      <c r="H563" s="57"/>
    </row>
    <row r="564" spans="7:8">
      <c r="G564" s="57"/>
      <c r="H564" s="57"/>
    </row>
    <row r="565" spans="7:8">
      <c r="G565" s="57"/>
      <c r="H565" s="57"/>
    </row>
    <row r="566" spans="7:8">
      <c r="G566" s="57"/>
      <c r="H566" s="57"/>
    </row>
    <row r="567" spans="7:8">
      <c r="G567" s="57"/>
      <c r="H567" s="57"/>
    </row>
    <row r="568" spans="7:8">
      <c r="G568" s="57"/>
      <c r="H568" s="57"/>
    </row>
    <row r="569" spans="7:8">
      <c r="G569" s="57"/>
      <c r="H569" s="57"/>
    </row>
    <row r="570" spans="7:8">
      <c r="G570" s="57"/>
      <c r="H570" s="57"/>
    </row>
    <row r="571" spans="7:8">
      <c r="G571" s="57"/>
      <c r="H571" s="57"/>
    </row>
    <row r="572" spans="7:8">
      <c r="G572" s="57"/>
      <c r="H572" s="57"/>
    </row>
    <row r="573" spans="7:8">
      <c r="G573" s="57"/>
      <c r="H573" s="57"/>
    </row>
    <row r="574" spans="7:8">
      <c r="G574" s="57"/>
      <c r="H574" s="57"/>
    </row>
    <row r="575" spans="7:8">
      <c r="G575" s="57"/>
      <c r="H575" s="57"/>
    </row>
    <row r="576" spans="7:8">
      <c r="G576" s="57"/>
      <c r="H576" s="57"/>
    </row>
    <row r="577" spans="7:8">
      <c r="G577" s="57"/>
      <c r="H577" s="57"/>
    </row>
    <row r="578" spans="7:8">
      <c r="G578" s="57"/>
      <c r="H578" s="57"/>
    </row>
    <row r="579" spans="7:8">
      <c r="G579" s="57"/>
      <c r="H579" s="57"/>
    </row>
    <row r="580" spans="7:8">
      <c r="G580" s="57"/>
      <c r="H580" s="57"/>
    </row>
    <row r="581" spans="7:8">
      <c r="G581" s="57"/>
      <c r="H581" s="57"/>
    </row>
    <row r="582" spans="7:8">
      <c r="G582" s="57"/>
      <c r="H582" s="57"/>
    </row>
    <row r="583" spans="7:8">
      <c r="G583" s="57"/>
      <c r="H583" s="57"/>
    </row>
    <row r="584" spans="7:8">
      <c r="G584" s="57"/>
      <c r="H584" s="57"/>
    </row>
    <row r="585" spans="7:8">
      <c r="G585" s="57"/>
      <c r="H585" s="57"/>
    </row>
    <row r="586" spans="7:8">
      <c r="G586" s="57"/>
      <c r="H586" s="57"/>
    </row>
    <row r="587" spans="7:8">
      <c r="G587" s="57"/>
      <c r="H587" s="57"/>
    </row>
    <row r="588" spans="7:8">
      <c r="G588" s="57"/>
      <c r="H588" s="57"/>
    </row>
    <row r="589" spans="7:8">
      <c r="G589" s="57"/>
      <c r="H589" s="57"/>
    </row>
    <row r="590" spans="7:8">
      <c r="G590" s="57"/>
      <c r="H590" s="57"/>
    </row>
    <row r="591" spans="7:8">
      <c r="G591" s="57"/>
      <c r="H591" s="57"/>
    </row>
    <row r="592" spans="7:8">
      <c r="G592" s="57"/>
      <c r="H592" s="57"/>
    </row>
    <row r="593" spans="7:8">
      <c r="G593" s="57"/>
      <c r="H593" s="57"/>
    </row>
    <row r="594" spans="7:8">
      <c r="G594" s="57"/>
      <c r="H594" s="57"/>
    </row>
    <row r="595" spans="7:8">
      <c r="G595" s="57"/>
      <c r="H595" s="57"/>
    </row>
    <row r="596" spans="7:8">
      <c r="G596" s="57"/>
      <c r="H596" s="57"/>
    </row>
    <row r="597" spans="7:8">
      <c r="G597" s="57"/>
      <c r="H597" s="57"/>
    </row>
    <row r="598" spans="7:8">
      <c r="G598" s="57"/>
      <c r="H598" s="57"/>
    </row>
    <row r="599" spans="7:8">
      <c r="G599" s="57"/>
      <c r="H599" s="57"/>
    </row>
    <row r="600" spans="7:8">
      <c r="G600" s="57"/>
      <c r="H600" s="57"/>
    </row>
    <row r="601" spans="7:8">
      <c r="G601" s="57"/>
      <c r="H601" s="57"/>
    </row>
    <row r="602" spans="7:8">
      <c r="G602" s="57"/>
      <c r="H602" s="57"/>
    </row>
    <row r="603" spans="7:8">
      <c r="G603" s="57"/>
      <c r="H603" s="57"/>
    </row>
    <row r="604" spans="7:8">
      <c r="G604" s="57"/>
      <c r="H604" s="57"/>
    </row>
    <row r="605" spans="7:8">
      <c r="G605" s="57"/>
      <c r="H605" s="57"/>
    </row>
    <row r="606" spans="7:8">
      <c r="G606" s="57"/>
      <c r="H606" s="57"/>
    </row>
    <row r="607" spans="7:8">
      <c r="G607" s="57"/>
      <c r="H607" s="57"/>
    </row>
    <row r="608" spans="7:8">
      <c r="G608" s="57"/>
      <c r="H608" s="57"/>
    </row>
    <row r="609" spans="7:8">
      <c r="G609" s="57"/>
      <c r="H609" s="57"/>
    </row>
    <row r="610" spans="7:8">
      <c r="G610" s="57"/>
      <c r="H610" s="57"/>
    </row>
    <row r="611" spans="7:8">
      <c r="G611" s="57"/>
      <c r="H611" s="57"/>
    </row>
    <row r="612" spans="7:8">
      <c r="G612" s="57"/>
      <c r="H612" s="57"/>
    </row>
    <row r="613" spans="7:8">
      <c r="G613" s="57"/>
      <c r="H613" s="57"/>
    </row>
    <row r="614" spans="7:8">
      <c r="G614" s="57"/>
      <c r="H614" s="57"/>
    </row>
    <row r="615" spans="7:8">
      <c r="G615" s="57"/>
      <c r="H615" s="57"/>
    </row>
    <row r="616" spans="7:8">
      <c r="G616" s="57"/>
      <c r="H616" s="57"/>
    </row>
    <row r="617" spans="7:8">
      <c r="G617" s="57"/>
      <c r="H617" s="57"/>
    </row>
    <row r="618" spans="7:8">
      <c r="G618" s="57"/>
      <c r="H618" s="57"/>
    </row>
    <row r="619" spans="7:8">
      <c r="G619" s="57"/>
      <c r="H619" s="57"/>
    </row>
    <row r="620" spans="7:8">
      <c r="G620" s="57"/>
      <c r="H620" s="57"/>
    </row>
    <row r="621" spans="7:8">
      <c r="G621" s="57"/>
      <c r="H621" s="57"/>
    </row>
    <row r="622" spans="7:8">
      <c r="G622" s="57"/>
      <c r="H622" s="57"/>
    </row>
    <row r="623" spans="7:8">
      <c r="G623" s="57"/>
      <c r="H623" s="57"/>
    </row>
    <row r="624" spans="7:8">
      <c r="G624" s="57"/>
      <c r="H624" s="57"/>
    </row>
    <row r="625" spans="7:8">
      <c r="G625" s="57"/>
      <c r="H625" s="57"/>
    </row>
    <row r="626" spans="7:8">
      <c r="G626" s="57"/>
      <c r="H626" s="57"/>
    </row>
    <row r="627" spans="7:8">
      <c r="G627" s="57"/>
      <c r="H627" s="57"/>
    </row>
    <row r="628" spans="7:8">
      <c r="G628" s="57"/>
      <c r="H628" s="57"/>
    </row>
    <row r="629" spans="7:8">
      <c r="G629" s="57"/>
      <c r="H629" s="57"/>
    </row>
    <row r="630" spans="7:8">
      <c r="G630" s="57"/>
      <c r="H630" s="57"/>
    </row>
    <row r="631" spans="7:8">
      <c r="G631" s="57"/>
      <c r="H631" s="57"/>
    </row>
    <row r="632" spans="7:8">
      <c r="G632" s="57"/>
      <c r="H632" s="57"/>
    </row>
    <row r="633" spans="7:8">
      <c r="G633" s="57"/>
      <c r="H633" s="57"/>
    </row>
    <row r="634" spans="7:8">
      <c r="G634" s="57"/>
      <c r="H634" s="57"/>
    </row>
    <row r="635" spans="7:8">
      <c r="G635" s="57"/>
      <c r="H635" s="57"/>
    </row>
    <row r="636" spans="7:8">
      <c r="G636" s="57"/>
      <c r="H636" s="57"/>
    </row>
    <row r="637" spans="7:8">
      <c r="G637" s="57"/>
      <c r="H637" s="57"/>
    </row>
    <row r="638" spans="7:8">
      <c r="G638" s="57"/>
      <c r="H638" s="57"/>
    </row>
    <row r="639" spans="7:8">
      <c r="G639" s="57"/>
      <c r="H639" s="57"/>
    </row>
    <row r="640" spans="7:8">
      <c r="G640" s="57"/>
      <c r="H640" s="57"/>
    </row>
    <row r="641" spans="7:8">
      <c r="G641" s="57"/>
      <c r="H641" s="57"/>
    </row>
    <row r="642" spans="7:8">
      <c r="G642" s="57"/>
      <c r="H642" s="57"/>
    </row>
    <row r="643" spans="7:8">
      <c r="G643" s="57"/>
      <c r="H643" s="57"/>
    </row>
    <row r="644" spans="7:8">
      <c r="G644" s="57"/>
      <c r="H644" s="57"/>
    </row>
    <row r="645" spans="7:8">
      <c r="G645" s="57"/>
      <c r="H645" s="57"/>
    </row>
    <row r="646" spans="7:8">
      <c r="G646" s="57"/>
      <c r="H646" s="57"/>
    </row>
    <row r="647" spans="7:8">
      <c r="G647" s="57"/>
      <c r="H647" s="57"/>
    </row>
    <row r="648" spans="7:8">
      <c r="G648" s="57"/>
      <c r="H648" s="57"/>
    </row>
    <row r="649" spans="7:8">
      <c r="G649" s="57"/>
      <c r="H649" s="57"/>
    </row>
    <row r="650" spans="7:8">
      <c r="G650" s="57"/>
      <c r="H650" s="57"/>
    </row>
    <row r="651" spans="7:8">
      <c r="G651" s="57"/>
      <c r="H651" s="57"/>
    </row>
    <row r="652" spans="7:8">
      <c r="G652" s="57"/>
      <c r="H652" s="57"/>
    </row>
    <row r="653" spans="7:8">
      <c r="G653" s="57"/>
      <c r="H653" s="57"/>
    </row>
    <row r="654" spans="7:8">
      <c r="G654" s="57"/>
      <c r="H654" s="57"/>
    </row>
    <row r="655" spans="7:8">
      <c r="G655" s="57"/>
      <c r="H655" s="57"/>
    </row>
    <row r="656" spans="7:8">
      <c r="G656" s="57"/>
      <c r="H656" s="57"/>
    </row>
    <row r="657" spans="7:8">
      <c r="G657" s="57"/>
      <c r="H657" s="57"/>
    </row>
    <row r="658" spans="7:8">
      <c r="G658" s="57"/>
      <c r="H658" s="57"/>
    </row>
    <row r="659" spans="7:8">
      <c r="G659" s="57"/>
      <c r="H659" s="57"/>
    </row>
    <row r="660" spans="7:8">
      <c r="G660" s="57"/>
      <c r="H660" s="57"/>
    </row>
    <row r="661" spans="7:8">
      <c r="G661" s="57"/>
      <c r="H661" s="57"/>
    </row>
    <row r="662" spans="7:8">
      <c r="G662" s="57"/>
      <c r="H662" s="58"/>
    </row>
    <row r="663" spans="7:8">
      <c r="G663" s="57"/>
    </row>
    <row r="664" spans="7:8">
      <c r="G664" s="57"/>
    </row>
  </sheetData>
  <mergeCells count="157">
    <mergeCell ref="A1:H1"/>
    <mergeCell ref="A2:A3"/>
    <mergeCell ref="B2:B3"/>
    <mergeCell ref="C2:C3"/>
    <mergeCell ref="D2:D3"/>
    <mergeCell ref="E2:E3"/>
    <mergeCell ref="F2:F3"/>
    <mergeCell ref="G2:G3"/>
    <mergeCell ref="H2:H3"/>
    <mergeCell ref="G4:G6"/>
    <mergeCell ref="H4:H6"/>
    <mergeCell ref="B7:B8"/>
    <mergeCell ref="C7:C8"/>
    <mergeCell ref="D7:D8"/>
    <mergeCell ref="E7:E8"/>
    <mergeCell ref="F7:F8"/>
    <mergeCell ref="G7:G8"/>
    <mergeCell ref="H7:H8"/>
    <mergeCell ref="B4:B6"/>
    <mergeCell ref="C4:C6"/>
    <mergeCell ref="D4:D6"/>
    <mergeCell ref="E4:E6"/>
    <mergeCell ref="F4:F6"/>
    <mergeCell ref="F9:F10"/>
    <mergeCell ref="G9:G10"/>
    <mergeCell ref="H9:H10"/>
    <mergeCell ref="B11:B12"/>
    <mergeCell ref="C11:C12"/>
    <mergeCell ref="D11:D12"/>
    <mergeCell ref="E11:E12"/>
    <mergeCell ref="F11:F12"/>
    <mergeCell ref="G11:G12"/>
    <mergeCell ref="H11:H12"/>
    <mergeCell ref="B9:B10"/>
    <mergeCell ref="C9:C10"/>
    <mergeCell ref="D9:D10"/>
    <mergeCell ref="E9:E10"/>
    <mergeCell ref="H13:H14"/>
    <mergeCell ref="A15:A17"/>
    <mergeCell ref="B15:B17"/>
    <mergeCell ref="C15:C17"/>
    <mergeCell ref="D15:D17"/>
    <mergeCell ref="E15:E17"/>
    <mergeCell ref="F15:F17"/>
    <mergeCell ref="G15:G17"/>
    <mergeCell ref="H15:H17"/>
    <mergeCell ref="B13:B14"/>
    <mergeCell ref="C13:C14"/>
    <mergeCell ref="D13:D14"/>
    <mergeCell ref="E13:E14"/>
    <mergeCell ref="F13:F14"/>
    <mergeCell ref="G13:G14"/>
    <mergeCell ref="A4:A14"/>
    <mergeCell ref="G19:G20"/>
    <mergeCell ref="H19:H20"/>
    <mergeCell ref="A21:A22"/>
    <mergeCell ref="B21:B22"/>
    <mergeCell ref="C21:C22"/>
    <mergeCell ref="D21:D22"/>
    <mergeCell ref="E21:E22"/>
    <mergeCell ref="F21:F22"/>
    <mergeCell ref="G21:G22"/>
    <mergeCell ref="H21:H22"/>
    <mergeCell ref="A19:A20"/>
    <mergeCell ref="B19:B20"/>
    <mergeCell ref="C19:C20"/>
    <mergeCell ref="D19:D20"/>
    <mergeCell ref="E19:E20"/>
    <mergeCell ref="F19:F20"/>
    <mergeCell ref="G23:G24"/>
    <mergeCell ref="H23:H24"/>
    <mergeCell ref="A25:A27"/>
    <mergeCell ref="B25:B27"/>
    <mergeCell ref="C25:C27"/>
    <mergeCell ref="D25:D27"/>
    <mergeCell ref="E25:E27"/>
    <mergeCell ref="F25:F27"/>
    <mergeCell ref="G25:G27"/>
    <mergeCell ref="H25:H27"/>
    <mergeCell ref="A23:A24"/>
    <mergeCell ref="B23:B24"/>
    <mergeCell ref="C23:C24"/>
    <mergeCell ref="D23:D24"/>
    <mergeCell ref="E23:E24"/>
    <mergeCell ref="F23:F24"/>
    <mergeCell ref="G28:G29"/>
    <mergeCell ref="H28:H29"/>
    <mergeCell ref="A30:A31"/>
    <mergeCell ref="B30:B31"/>
    <mergeCell ref="C30:C31"/>
    <mergeCell ref="D30:D31"/>
    <mergeCell ref="E30:E31"/>
    <mergeCell ref="F30:F31"/>
    <mergeCell ref="G30:G31"/>
    <mergeCell ref="H30:H31"/>
    <mergeCell ref="A28:A29"/>
    <mergeCell ref="B28:B29"/>
    <mergeCell ref="C28:C29"/>
    <mergeCell ref="D28:D29"/>
    <mergeCell ref="E28:E29"/>
    <mergeCell ref="F28:F29"/>
    <mergeCell ref="G32:G33"/>
    <mergeCell ref="H32:H33"/>
    <mergeCell ref="B34:B35"/>
    <mergeCell ref="C34:C35"/>
    <mergeCell ref="D34:D35"/>
    <mergeCell ref="E34:E35"/>
    <mergeCell ref="F34:F35"/>
    <mergeCell ref="G34:G35"/>
    <mergeCell ref="H34:H35"/>
    <mergeCell ref="B32:B33"/>
    <mergeCell ref="C32:C33"/>
    <mergeCell ref="D32:D33"/>
    <mergeCell ref="E32:E33"/>
    <mergeCell ref="F32:F33"/>
    <mergeCell ref="A40:A47"/>
    <mergeCell ref="B40:B45"/>
    <mergeCell ref="C40:C45"/>
    <mergeCell ref="D40:D45"/>
    <mergeCell ref="E40:E45"/>
    <mergeCell ref="F40:F45"/>
    <mergeCell ref="F36:F37"/>
    <mergeCell ref="G36:G37"/>
    <mergeCell ref="H36:H37"/>
    <mergeCell ref="B38:B39"/>
    <mergeCell ref="C38:C39"/>
    <mergeCell ref="D38:D39"/>
    <mergeCell ref="E38:E39"/>
    <mergeCell ref="F38:F39"/>
    <mergeCell ref="G38:G39"/>
    <mergeCell ref="H38:H39"/>
    <mergeCell ref="A32:A39"/>
    <mergeCell ref="B36:B37"/>
    <mergeCell ref="C36:C37"/>
    <mergeCell ref="D36:D37"/>
    <mergeCell ref="E36:E37"/>
    <mergeCell ref="G40:G45"/>
    <mergeCell ref="H40:H45"/>
    <mergeCell ref="B46:B47"/>
    <mergeCell ref="C46:C47"/>
    <mergeCell ref="D46:D47"/>
    <mergeCell ref="E46:E47"/>
    <mergeCell ref="F46:F47"/>
    <mergeCell ref="G46:G47"/>
    <mergeCell ref="H46:H47"/>
    <mergeCell ref="G48:G49"/>
    <mergeCell ref="H48:H49"/>
    <mergeCell ref="A50:A51"/>
    <mergeCell ref="B50:F51"/>
    <mergeCell ref="G50:G51"/>
    <mergeCell ref="H50:H51"/>
    <mergeCell ref="A48:A49"/>
    <mergeCell ref="B48:B49"/>
    <mergeCell ref="C48:C49"/>
    <mergeCell ref="D48:D49"/>
    <mergeCell ref="E48:E49"/>
    <mergeCell ref="F48:F4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6BC62-1324-44FA-B9B7-023179EDED00}">
  <dimension ref="A1:H29"/>
  <sheetViews>
    <sheetView workbookViewId="0">
      <selection sqref="A1:H2"/>
    </sheetView>
  </sheetViews>
  <sheetFormatPr defaultRowHeight="14.4"/>
  <cols>
    <col min="1" max="1" width="19" customWidth="1"/>
    <col min="2" max="2" width="26.33203125" customWidth="1"/>
    <col min="3" max="3" width="20.6640625" customWidth="1"/>
    <col min="4" max="4" width="23.21875" customWidth="1"/>
    <col min="5" max="5" width="22.6640625" customWidth="1"/>
    <col min="6" max="6" width="32.33203125" customWidth="1"/>
    <col min="7" max="7" width="32.21875" customWidth="1"/>
    <col min="8" max="8" width="25.77734375" customWidth="1"/>
  </cols>
  <sheetData>
    <row r="1" spans="1:8" ht="28.2" customHeight="1">
      <c r="A1" s="115" t="s">
        <v>175</v>
      </c>
      <c r="B1" s="116"/>
      <c r="C1" s="116"/>
      <c r="D1" s="116"/>
      <c r="E1" s="116"/>
      <c r="F1" s="116"/>
      <c r="G1" s="124"/>
      <c r="H1" s="125"/>
    </row>
    <row r="2" spans="1:8" ht="0.6" customHeight="1">
      <c r="A2" s="126"/>
      <c r="B2" s="116"/>
      <c r="C2" s="116"/>
      <c r="D2" s="116"/>
      <c r="E2" s="116"/>
      <c r="F2" s="116"/>
      <c r="G2" s="124"/>
      <c r="H2" s="125"/>
    </row>
    <row r="3" spans="1:8">
      <c r="A3" s="86" t="s">
        <v>59</v>
      </c>
      <c r="B3" s="86" t="s">
        <v>176</v>
      </c>
      <c r="C3" s="86" t="s">
        <v>177</v>
      </c>
      <c r="D3" s="86" t="s">
        <v>178</v>
      </c>
      <c r="E3" s="86" t="s">
        <v>179</v>
      </c>
      <c r="F3" s="86" t="s">
        <v>180</v>
      </c>
      <c r="G3" s="100" t="s">
        <v>65</v>
      </c>
      <c r="H3" s="100" t="s">
        <v>181</v>
      </c>
    </row>
    <row r="4" spans="1:8">
      <c r="A4" s="86"/>
      <c r="B4" s="87"/>
      <c r="C4" s="87"/>
      <c r="D4" s="92"/>
      <c r="E4" s="92"/>
      <c r="F4" s="87"/>
      <c r="G4" s="127"/>
      <c r="H4" s="127"/>
    </row>
    <row r="5" spans="1:8" ht="39.6" customHeight="1">
      <c r="A5" s="86"/>
      <c r="B5" s="87"/>
      <c r="C5" s="87"/>
      <c r="D5" s="92"/>
      <c r="E5" s="92"/>
      <c r="F5" s="87"/>
      <c r="G5" s="127"/>
      <c r="H5" s="127"/>
    </row>
    <row r="6" spans="1:8">
      <c r="A6" s="86" t="s">
        <v>67</v>
      </c>
      <c r="B6" s="123" t="s">
        <v>182</v>
      </c>
      <c r="C6" s="88" t="s">
        <v>183</v>
      </c>
      <c r="D6" s="88" t="s">
        <v>70</v>
      </c>
      <c r="E6" s="94" t="s">
        <v>184</v>
      </c>
      <c r="F6" s="86" t="s">
        <v>185</v>
      </c>
      <c r="G6" s="89">
        <v>1</v>
      </c>
      <c r="H6" s="89">
        <v>1</v>
      </c>
    </row>
    <row r="7" spans="1:8">
      <c r="A7" s="87"/>
      <c r="B7" s="92"/>
      <c r="C7" s="92"/>
      <c r="D7" s="92"/>
      <c r="E7" s="99"/>
      <c r="F7" s="92"/>
      <c r="G7" s="89"/>
      <c r="H7" s="89"/>
    </row>
    <row r="8" spans="1:8">
      <c r="A8" s="87"/>
      <c r="B8" s="92"/>
      <c r="C8" s="92"/>
      <c r="D8" s="92"/>
      <c r="E8" s="99"/>
      <c r="F8" s="92"/>
      <c r="G8" s="89"/>
      <c r="H8" s="89"/>
    </row>
    <row r="9" spans="1:8">
      <c r="A9" s="87"/>
      <c r="B9" s="92"/>
      <c r="C9" s="92"/>
      <c r="D9" s="92"/>
      <c r="E9" s="99"/>
      <c r="F9" s="92"/>
      <c r="G9" s="89"/>
      <c r="H9" s="89"/>
    </row>
    <row r="10" spans="1:8">
      <c r="A10" s="87"/>
      <c r="B10" s="92"/>
      <c r="C10" s="92"/>
      <c r="D10" s="92"/>
      <c r="E10" s="99"/>
      <c r="F10" s="92"/>
      <c r="G10" s="89"/>
      <c r="H10" s="89"/>
    </row>
    <row r="11" spans="1:8">
      <c r="A11" s="92"/>
      <c r="B11" s="86" t="s">
        <v>186</v>
      </c>
      <c r="C11" s="88" t="s">
        <v>187</v>
      </c>
      <c r="D11" s="88" t="s">
        <v>188</v>
      </c>
      <c r="E11" s="94" t="s">
        <v>189</v>
      </c>
      <c r="F11" s="86" t="s">
        <v>190</v>
      </c>
      <c r="G11" s="89">
        <v>1</v>
      </c>
      <c r="H11" s="89">
        <v>1</v>
      </c>
    </row>
    <row r="12" spans="1:8">
      <c r="A12" s="92"/>
      <c r="B12" s="92"/>
      <c r="C12" s="87"/>
      <c r="D12" s="87"/>
      <c r="E12" s="99"/>
      <c r="F12" s="87"/>
      <c r="G12" s="89"/>
      <c r="H12" s="89"/>
    </row>
    <row r="13" spans="1:8">
      <c r="A13" s="92"/>
      <c r="B13" s="92"/>
      <c r="C13" s="87"/>
      <c r="D13" s="87"/>
      <c r="E13" s="99"/>
      <c r="F13" s="87"/>
      <c r="G13" s="89"/>
      <c r="H13" s="89"/>
    </row>
    <row r="14" spans="1:8" ht="14.4" customHeight="1">
      <c r="A14" s="92"/>
      <c r="B14" s="86" t="s">
        <v>191</v>
      </c>
      <c r="C14" s="88" t="s">
        <v>192</v>
      </c>
      <c r="D14" s="88" t="s">
        <v>70</v>
      </c>
      <c r="E14" s="88"/>
      <c r="F14" s="86" t="s">
        <v>149</v>
      </c>
      <c r="G14" s="89">
        <v>1</v>
      </c>
      <c r="H14" s="89"/>
    </row>
    <row r="15" spans="1:8">
      <c r="A15" s="92"/>
      <c r="B15" s="87"/>
      <c r="C15" s="87"/>
      <c r="D15" s="92"/>
      <c r="E15" s="88"/>
      <c r="F15" s="87"/>
      <c r="G15" s="89"/>
      <c r="H15" s="89"/>
    </row>
    <row r="16" spans="1:8">
      <c r="A16" s="92"/>
      <c r="B16" s="87"/>
      <c r="C16" s="87"/>
      <c r="D16" s="92"/>
      <c r="E16" s="88"/>
      <c r="F16" s="87"/>
      <c r="G16" s="89"/>
      <c r="H16" s="89"/>
    </row>
    <row r="17" spans="1:8">
      <c r="A17" s="86" t="s">
        <v>79</v>
      </c>
      <c r="B17" s="86" t="s">
        <v>193</v>
      </c>
      <c r="C17" s="88" t="s">
        <v>194</v>
      </c>
      <c r="D17" s="88" t="s">
        <v>70</v>
      </c>
      <c r="E17" s="94" t="s">
        <v>82</v>
      </c>
      <c r="F17" s="86" t="s">
        <v>195</v>
      </c>
      <c r="G17" s="89">
        <v>1</v>
      </c>
      <c r="H17" s="89">
        <v>1</v>
      </c>
    </row>
    <row r="18" spans="1:8">
      <c r="A18" s="92"/>
      <c r="B18" s="87"/>
      <c r="C18" s="87"/>
      <c r="D18" s="92"/>
      <c r="E18" s="99"/>
      <c r="F18" s="87"/>
      <c r="G18" s="89"/>
      <c r="H18" s="89"/>
    </row>
    <row r="19" spans="1:8">
      <c r="A19" s="92"/>
      <c r="B19" s="87"/>
      <c r="C19" s="87"/>
      <c r="D19" s="92"/>
      <c r="E19" s="99"/>
      <c r="F19" s="87"/>
      <c r="G19" s="89"/>
      <c r="H19" s="89"/>
    </row>
    <row r="20" spans="1:8">
      <c r="A20" s="86" t="s">
        <v>95</v>
      </c>
      <c r="B20" s="86" t="s">
        <v>196</v>
      </c>
      <c r="C20" s="88" t="s">
        <v>197</v>
      </c>
      <c r="D20" s="88" t="s">
        <v>70</v>
      </c>
      <c r="E20" s="90" t="s">
        <v>198</v>
      </c>
      <c r="F20" s="86" t="s">
        <v>199</v>
      </c>
      <c r="G20" s="89">
        <v>3</v>
      </c>
      <c r="H20" s="89"/>
    </row>
    <row r="21" spans="1:8">
      <c r="A21" s="92"/>
      <c r="B21" s="87"/>
      <c r="C21" s="92"/>
      <c r="D21" s="92"/>
      <c r="E21" s="93"/>
      <c r="F21" s="122"/>
      <c r="G21" s="89"/>
      <c r="H21" s="89"/>
    </row>
    <row r="22" spans="1:8">
      <c r="A22" s="92"/>
      <c r="B22" s="87"/>
      <c r="C22" s="92"/>
      <c r="D22" s="92"/>
      <c r="E22" s="93"/>
      <c r="F22" s="122"/>
      <c r="G22" s="89"/>
      <c r="H22" s="89"/>
    </row>
    <row r="23" spans="1:8">
      <c r="A23" s="92"/>
      <c r="B23" s="87"/>
      <c r="C23" s="92"/>
      <c r="D23" s="92"/>
      <c r="E23" s="93"/>
      <c r="F23" s="122"/>
      <c r="G23" s="89"/>
      <c r="H23" s="89"/>
    </row>
    <row r="24" spans="1:8">
      <c r="A24" s="86" t="s">
        <v>200</v>
      </c>
      <c r="B24" s="86" t="s">
        <v>201</v>
      </c>
      <c r="C24" s="88" t="s">
        <v>202</v>
      </c>
      <c r="D24" s="88" t="s">
        <v>70</v>
      </c>
      <c r="E24" s="121"/>
      <c r="F24" s="86" t="s">
        <v>89</v>
      </c>
      <c r="G24" s="89">
        <v>1</v>
      </c>
      <c r="H24" s="89"/>
    </row>
    <row r="25" spans="1:8">
      <c r="A25" s="92"/>
      <c r="B25" s="92"/>
      <c r="C25" s="87"/>
      <c r="D25" s="92"/>
      <c r="E25" s="121"/>
      <c r="F25" s="87"/>
      <c r="G25" s="89"/>
      <c r="H25" s="89"/>
    </row>
    <row r="26" spans="1:8">
      <c r="A26" s="92"/>
      <c r="B26" s="92"/>
      <c r="C26" s="87"/>
      <c r="D26" s="92"/>
      <c r="E26" s="121"/>
      <c r="F26" s="87"/>
      <c r="G26" s="89"/>
      <c r="H26" s="89"/>
    </row>
    <row r="27" spans="1:8">
      <c r="A27" s="86" t="s">
        <v>110</v>
      </c>
      <c r="B27" s="92"/>
      <c r="C27" s="92"/>
      <c r="D27" s="92"/>
      <c r="E27" s="92"/>
      <c r="F27" s="92"/>
      <c r="G27" s="86">
        <v>8</v>
      </c>
      <c r="H27" s="86">
        <v>3</v>
      </c>
    </row>
    <row r="28" spans="1:8">
      <c r="A28" s="120"/>
      <c r="B28" s="92"/>
      <c r="C28" s="92"/>
      <c r="D28" s="92"/>
      <c r="E28" s="92"/>
      <c r="F28" s="92"/>
      <c r="G28" s="86"/>
      <c r="H28" s="86"/>
    </row>
    <row r="29" spans="1:8">
      <c r="G29" s="61" t="s">
        <v>203</v>
      </c>
    </row>
  </sheetData>
  <mergeCells count="59">
    <mergeCell ref="A1:H2"/>
    <mergeCell ref="A3:A5"/>
    <mergeCell ref="B3:B5"/>
    <mergeCell ref="C3:C5"/>
    <mergeCell ref="D3:D5"/>
    <mergeCell ref="E3:E5"/>
    <mergeCell ref="F3:F5"/>
    <mergeCell ref="G3:G5"/>
    <mergeCell ref="H3:H5"/>
    <mergeCell ref="G6:G10"/>
    <mergeCell ref="H6:H10"/>
    <mergeCell ref="B11:B13"/>
    <mergeCell ref="C11:C13"/>
    <mergeCell ref="D11:D13"/>
    <mergeCell ref="E11:E13"/>
    <mergeCell ref="F11:F13"/>
    <mergeCell ref="G11:G13"/>
    <mergeCell ref="H11:H13"/>
    <mergeCell ref="B6:B10"/>
    <mergeCell ref="C6:C10"/>
    <mergeCell ref="D6:D10"/>
    <mergeCell ref="E6:E10"/>
    <mergeCell ref="F6:F10"/>
    <mergeCell ref="F14:F16"/>
    <mergeCell ref="G14:G16"/>
    <mergeCell ref="H14:H16"/>
    <mergeCell ref="A17:A19"/>
    <mergeCell ref="B17:B19"/>
    <mergeCell ref="C17:C19"/>
    <mergeCell ref="D17:D19"/>
    <mergeCell ref="E17:E19"/>
    <mergeCell ref="F17:F19"/>
    <mergeCell ref="G17:G19"/>
    <mergeCell ref="A6:A16"/>
    <mergeCell ref="B14:B16"/>
    <mergeCell ref="C14:C16"/>
    <mergeCell ref="D14:D16"/>
    <mergeCell ref="E14:E16"/>
    <mergeCell ref="H17:H19"/>
    <mergeCell ref="A20:A23"/>
    <mergeCell ref="B20:B23"/>
    <mergeCell ref="C20:C23"/>
    <mergeCell ref="D20:D23"/>
    <mergeCell ref="E20:E23"/>
    <mergeCell ref="F20:F23"/>
    <mergeCell ref="G20:G23"/>
    <mergeCell ref="H20:H23"/>
    <mergeCell ref="G24:G26"/>
    <mergeCell ref="H24:H26"/>
    <mergeCell ref="A27:A28"/>
    <mergeCell ref="B27:F28"/>
    <mergeCell ref="G27:G28"/>
    <mergeCell ref="H27:H28"/>
    <mergeCell ref="A24:A26"/>
    <mergeCell ref="B24:B26"/>
    <mergeCell ref="C24:C26"/>
    <mergeCell ref="D24:D26"/>
    <mergeCell ref="E24:E26"/>
    <mergeCell ref="F24:F2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AB1AC-1EEA-4826-84AD-033AB4E8B0B9}">
  <dimension ref="A1:E8"/>
  <sheetViews>
    <sheetView workbookViewId="0">
      <selection activeCell="D15" sqref="D15"/>
    </sheetView>
  </sheetViews>
  <sheetFormatPr defaultRowHeight="14.4"/>
  <cols>
    <col min="1" max="1" width="53.109375" style="5" customWidth="1"/>
    <col min="2" max="2" width="35.6640625" style="8" customWidth="1"/>
    <col min="3" max="3" width="32.77734375" style="19" customWidth="1"/>
    <col min="4" max="4" width="33.44140625" style="19" customWidth="1"/>
    <col min="5" max="5" width="36.109375" style="5" customWidth="1"/>
  </cols>
  <sheetData>
    <row r="1" spans="1:5" ht="27" customHeight="1">
      <c r="A1" s="128" t="s">
        <v>228</v>
      </c>
      <c r="B1" s="129"/>
      <c r="C1" s="129"/>
      <c r="D1" s="129"/>
      <c r="E1" s="130"/>
    </row>
    <row r="2" spans="1:5" ht="66">
      <c r="A2" s="62"/>
      <c r="B2" s="64" t="s">
        <v>209</v>
      </c>
      <c r="C2" s="65" t="s">
        <v>210</v>
      </c>
      <c r="D2" s="66" t="s">
        <v>211</v>
      </c>
      <c r="E2" s="63" t="s">
        <v>212</v>
      </c>
    </row>
    <row r="3" spans="1:5" ht="39.6">
      <c r="A3" s="48" t="s">
        <v>204</v>
      </c>
      <c r="B3" s="56">
        <f>2+2+3+2+4+2+2+2+4</f>
        <v>23</v>
      </c>
      <c r="C3" s="50">
        <f>3+1+3+4+5+2+2+8+5+1+2+2+0</f>
        <v>38</v>
      </c>
      <c r="D3" s="50">
        <v>3</v>
      </c>
      <c r="E3" s="49">
        <f>5+4+1</f>
        <v>10</v>
      </c>
    </row>
    <row r="4" spans="1:5" ht="43.2" customHeight="1">
      <c r="A4" s="48" t="s">
        <v>205</v>
      </c>
      <c r="B4" s="56">
        <v>9</v>
      </c>
      <c r="C4" s="50">
        <v>13</v>
      </c>
      <c r="D4" s="50">
        <v>1</v>
      </c>
      <c r="E4" s="49">
        <v>3</v>
      </c>
    </row>
    <row r="5" spans="1:5" ht="37.799999999999997" customHeight="1">
      <c r="A5" s="48" t="s">
        <v>206</v>
      </c>
      <c r="B5" s="67">
        <f>23/9</f>
        <v>2.5555555555555554</v>
      </c>
      <c r="C5" s="68">
        <f>38/13</f>
        <v>2.9230769230769229</v>
      </c>
      <c r="D5" s="68">
        <v>3</v>
      </c>
      <c r="E5" s="68">
        <f>10/3</f>
        <v>3.3333333333333335</v>
      </c>
    </row>
    <row r="6" spans="1:5" ht="26.4">
      <c r="A6" s="48" t="s">
        <v>213</v>
      </c>
      <c r="B6" s="56" t="s">
        <v>214</v>
      </c>
      <c r="C6" s="50" t="s">
        <v>215</v>
      </c>
      <c r="D6" s="50">
        <v>3</v>
      </c>
      <c r="E6" s="49" t="s">
        <v>216</v>
      </c>
    </row>
    <row r="7" spans="1:5">
      <c r="A7" s="48" t="s">
        <v>207</v>
      </c>
      <c r="B7" s="56">
        <v>2</v>
      </c>
      <c r="C7" s="50">
        <v>2</v>
      </c>
      <c r="D7" s="50">
        <v>3</v>
      </c>
      <c r="E7" s="49">
        <v>4</v>
      </c>
    </row>
    <row r="8" spans="1:5">
      <c r="A8" s="48" t="s">
        <v>208</v>
      </c>
      <c r="B8" s="67">
        <f>2.6*5</f>
        <v>13</v>
      </c>
      <c r="C8" s="68">
        <f>2.9*5</f>
        <v>14.5</v>
      </c>
      <c r="D8" s="68">
        <v>12</v>
      </c>
      <c r="E8" s="68">
        <f>3.33*4</f>
        <v>13.32</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EXPLANATORY NOTES</vt:lpstr>
      <vt:lpstr>1.HUDOC.EXEC.data.excl.CM.Rus</vt:lpstr>
      <vt:lpstr>2.HUDOC.EXEC.data.incl.CM.Rus</vt:lpstr>
      <vt:lpstr>Table 1 Right to vote</vt:lpstr>
      <vt:lpstr>Table 2 Parl immunity etc.</vt:lpstr>
      <vt:lpstr>Table 3 catalyst for reform</vt:lpstr>
      <vt:lpstr>Rate of remedy</vt:lpstr>
      <vt:lpstr>'Table 2 Parl immunity etc.'!_ftnref1</vt:lpstr>
      <vt:lpstr>'Table 2 Parl immunity etc.'!_ftnref2</vt:lpstr>
      <vt:lpstr>'Table 2 Parl immunity etc.'!_ftnref3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Hardman</dc:creator>
  <cp:lastModifiedBy>Helen Hardman</cp:lastModifiedBy>
  <dcterms:created xsi:type="dcterms:W3CDTF">2026-02-09T11:30:35Z</dcterms:created>
  <dcterms:modified xsi:type="dcterms:W3CDTF">2026-08-24T16:56:54Z</dcterms:modified>
</cp:coreProperties>
</file>