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v\Dropbox\PC\Documents\Publications and Papers\Articles and Pubs\Active\Pension Financialization\Data\"/>
    </mc:Choice>
  </mc:AlternateContent>
  <xr:revisionPtr revIDLastSave="0" documentId="13_ncr:1_{F35B4871-03C2-4A00-89AF-1BC590BEA204}" xr6:coauthVersionLast="47" xr6:coauthVersionMax="47" xr10:uidLastSave="{00000000-0000-0000-0000-000000000000}"/>
  <bookViews>
    <workbookView xWindow="0" yWindow="0" windowWidth="15264" windowHeight="12300" xr2:uid="{8DB11B21-E9A9-4C4E-99B6-DFF2FA919CBC}"/>
  </bookViews>
  <sheets>
    <sheet name="US Census All States" sheetId="1" r:id="rId1"/>
    <sheet name="US Census All States Simple" sheetId="9" r:id="rId2"/>
    <sheet name="NC State Data" sheetId="5" r:id="rId3"/>
    <sheet name="NC State Simple" sheetId="6" r:id="rId4"/>
    <sheet name="NYSERS Data" sheetId="7" r:id="rId5"/>
    <sheet name="NYSERS SImple" sheetId="8" r:id="rId6"/>
    <sheet name="US Census All State and Local" sheetId="10" r:id="rId7"/>
    <sheet name="US Census All S&amp;L Simple" sheetId="11" r:id="rId8"/>
    <sheet name="Figure 1 Bond Yield Data" sheetId="12" r:id="rId9"/>
    <sheet name="Figure 1" sheetId="13" r:id="rId10"/>
  </sheets>
  <externalReferences>
    <externalReference r:id="rId11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9" i="12" l="1"/>
  <c r="G69" i="12"/>
  <c r="D69" i="12"/>
  <c r="I68" i="12"/>
  <c r="G68" i="12"/>
  <c r="D68" i="12"/>
  <c r="I67" i="12"/>
  <c r="G67" i="12"/>
  <c r="D67" i="12"/>
  <c r="I66" i="12"/>
  <c r="G66" i="12"/>
  <c r="D66" i="12"/>
  <c r="I65" i="12"/>
  <c r="G65" i="12"/>
  <c r="D65" i="12"/>
  <c r="I64" i="12"/>
  <c r="G64" i="12"/>
  <c r="D64" i="12"/>
  <c r="I63" i="12"/>
  <c r="G63" i="12"/>
  <c r="D63" i="12"/>
  <c r="I62" i="12"/>
  <c r="G62" i="12"/>
  <c r="D62" i="12"/>
  <c r="I61" i="12"/>
  <c r="G61" i="12"/>
  <c r="D61" i="12"/>
  <c r="I60" i="12"/>
  <c r="G60" i="12"/>
  <c r="D60" i="12"/>
  <c r="I59" i="12"/>
  <c r="G59" i="12"/>
  <c r="D59" i="12"/>
  <c r="I58" i="12"/>
  <c r="G58" i="12"/>
  <c r="D58" i="12"/>
  <c r="I57" i="12"/>
  <c r="G57" i="12"/>
  <c r="D57" i="12"/>
  <c r="I56" i="12"/>
  <c r="G56" i="12"/>
  <c r="D56" i="12"/>
  <c r="I55" i="12"/>
  <c r="G55" i="12"/>
  <c r="D55" i="12"/>
  <c r="I54" i="12"/>
  <c r="G54" i="12"/>
  <c r="D54" i="12"/>
  <c r="I53" i="12"/>
  <c r="G53" i="12"/>
  <c r="D53" i="12"/>
  <c r="I52" i="12"/>
  <c r="G52" i="12"/>
  <c r="D52" i="12"/>
  <c r="I51" i="12"/>
  <c r="G51" i="12"/>
  <c r="D51" i="12"/>
  <c r="I50" i="12"/>
  <c r="G50" i="12"/>
  <c r="D50" i="12"/>
  <c r="I49" i="12"/>
  <c r="G49" i="12"/>
  <c r="D49" i="12"/>
  <c r="I48" i="12"/>
  <c r="G48" i="12"/>
  <c r="D48" i="12"/>
  <c r="I47" i="12"/>
  <c r="G47" i="12"/>
  <c r="D47" i="12"/>
  <c r="I46" i="12"/>
  <c r="G46" i="12"/>
  <c r="D46" i="12"/>
  <c r="I45" i="12"/>
  <c r="G45" i="12"/>
  <c r="D45" i="12"/>
  <c r="I44" i="12"/>
  <c r="G44" i="12"/>
  <c r="D44" i="12"/>
  <c r="I43" i="12"/>
  <c r="G43" i="12"/>
  <c r="D43" i="12"/>
  <c r="I42" i="12"/>
  <c r="G42" i="12"/>
  <c r="D42" i="12"/>
  <c r="I41" i="12"/>
  <c r="G41" i="12"/>
  <c r="D41" i="12"/>
  <c r="I40" i="12"/>
  <c r="G40" i="12"/>
  <c r="D40" i="12"/>
  <c r="I39" i="12"/>
  <c r="G39" i="12"/>
  <c r="D39" i="12"/>
  <c r="I38" i="12"/>
  <c r="G38" i="12"/>
  <c r="D38" i="12"/>
  <c r="I37" i="12"/>
  <c r="G37" i="12"/>
  <c r="D37" i="12"/>
  <c r="I36" i="12"/>
  <c r="G36" i="12"/>
  <c r="D36" i="12"/>
  <c r="I35" i="12"/>
  <c r="G35" i="12"/>
  <c r="D35" i="12"/>
  <c r="I34" i="12"/>
  <c r="G34" i="12"/>
  <c r="D34" i="12"/>
  <c r="I33" i="12"/>
  <c r="G33" i="12"/>
  <c r="D33" i="12"/>
  <c r="I32" i="12"/>
  <c r="G32" i="12"/>
  <c r="D32" i="12"/>
  <c r="I31" i="12"/>
  <c r="G31" i="12"/>
  <c r="D31" i="12"/>
  <c r="I30" i="12"/>
  <c r="G30" i="12"/>
  <c r="D30" i="12"/>
  <c r="I29" i="12"/>
  <c r="G29" i="12"/>
  <c r="D29" i="12"/>
  <c r="I28" i="12"/>
  <c r="G28" i="12"/>
  <c r="D28" i="12"/>
  <c r="I27" i="12"/>
  <c r="G27" i="12"/>
  <c r="D27" i="12"/>
  <c r="I26" i="12"/>
  <c r="G26" i="12"/>
  <c r="D26" i="12"/>
  <c r="I25" i="12"/>
  <c r="G25" i="12"/>
  <c r="D25" i="12"/>
  <c r="I24" i="12"/>
  <c r="G24" i="12"/>
  <c r="D24" i="12"/>
  <c r="I23" i="12"/>
  <c r="G23" i="12"/>
  <c r="D23" i="12"/>
  <c r="I22" i="12"/>
  <c r="G22" i="12"/>
  <c r="D22" i="12"/>
  <c r="I21" i="12"/>
  <c r="G21" i="12"/>
  <c r="D21" i="12"/>
  <c r="I20" i="12"/>
  <c r="G20" i="12"/>
  <c r="D20" i="12"/>
  <c r="I19" i="12"/>
  <c r="G19" i="12"/>
  <c r="D19" i="12"/>
  <c r="I18" i="12"/>
  <c r="G18" i="12"/>
  <c r="D18" i="12"/>
  <c r="I17" i="12"/>
  <c r="G17" i="12"/>
  <c r="D17" i="12"/>
  <c r="I16" i="12"/>
  <c r="G16" i="12"/>
  <c r="D16" i="12"/>
  <c r="I15" i="12"/>
  <c r="G15" i="12"/>
  <c r="D15" i="12"/>
  <c r="I14" i="12"/>
  <c r="G14" i="12"/>
  <c r="D14" i="12"/>
  <c r="I13" i="12"/>
  <c r="G13" i="12"/>
  <c r="D13" i="12"/>
  <c r="I12" i="12"/>
  <c r="G12" i="12"/>
  <c r="D12" i="12"/>
  <c r="I11" i="12"/>
  <c r="G11" i="12"/>
  <c r="D11" i="12"/>
  <c r="I10" i="12"/>
  <c r="G10" i="12"/>
  <c r="D10" i="12"/>
  <c r="I9" i="12"/>
  <c r="G9" i="12"/>
  <c r="D9" i="12"/>
  <c r="I8" i="12"/>
  <c r="G8" i="12"/>
  <c r="D8" i="12"/>
  <c r="I7" i="12"/>
  <c r="G7" i="12"/>
  <c r="D7" i="12"/>
  <c r="I6" i="12"/>
  <c r="G6" i="12"/>
  <c r="D6" i="12"/>
  <c r="I5" i="12"/>
  <c r="G5" i="12"/>
  <c r="D5" i="12"/>
  <c r="I4" i="12"/>
  <c r="G4" i="12"/>
  <c r="D4" i="12"/>
  <c r="J21" i="11" l="1"/>
  <c r="J6" i="11"/>
  <c r="J7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5" i="11"/>
  <c r="I6" i="1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5" i="11"/>
  <c r="H6" i="11"/>
  <c r="H7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5" i="11"/>
  <c r="G6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5" i="11"/>
  <c r="F6" i="11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5" i="11"/>
  <c r="L6" i="9"/>
  <c r="M6" i="9"/>
  <c r="N6" i="9"/>
  <c r="L7" i="9"/>
  <c r="M7" i="9"/>
  <c r="N7" i="9"/>
  <c r="L8" i="9"/>
  <c r="M8" i="9"/>
  <c r="N8" i="9"/>
  <c r="L9" i="9"/>
  <c r="M9" i="9"/>
  <c r="N9" i="9"/>
  <c r="L10" i="9"/>
  <c r="M10" i="9"/>
  <c r="N10" i="9"/>
  <c r="L11" i="9"/>
  <c r="M11" i="9"/>
  <c r="N11" i="9"/>
  <c r="L12" i="9"/>
  <c r="M12" i="9"/>
  <c r="N12" i="9"/>
  <c r="L13" i="9"/>
  <c r="M13" i="9"/>
  <c r="N13" i="9"/>
  <c r="L14" i="9"/>
  <c r="M14" i="9"/>
  <c r="N14" i="9"/>
  <c r="L15" i="9"/>
  <c r="M15" i="9"/>
  <c r="N15" i="9"/>
  <c r="L16" i="9"/>
  <c r="M16" i="9"/>
  <c r="N16" i="9"/>
  <c r="L17" i="9"/>
  <c r="M17" i="9"/>
  <c r="N17" i="9"/>
  <c r="L18" i="9"/>
  <c r="M18" i="9"/>
  <c r="N18" i="9"/>
  <c r="L19" i="9"/>
  <c r="M19" i="9"/>
  <c r="N19" i="9"/>
  <c r="L20" i="9"/>
  <c r="M20" i="9"/>
  <c r="N20" i="9"/>
  <c r="L21" i="9"/>
  <c r="M21" i="9"/>
  <c r="N21" i="9"/>
  <c r="L22" i="9"/>
  <c r="M22" i="9"/>
  <c r="N22" i="9"/>
  <c r="L23" i="9"/>
  <c r="M23" i="9"/>
  <c r="N23" i="9"/>
  <c r="L24" i="9"/>
  <c r="M24" i="9"/>
  <c r="N24" i="9"/>
  <c r="L25" i="9"/>
  <c r="M25" i="9"/>
  <c r="N25" i="9"/>
  <c r="L26" i="9"/>
  <c r="M26" i="9"/>
  <c r="N26" i="9"/>
  <c r="L27" i="9"/>
  <c r="M27" i="9"/>
  <c r="N27" i="9"/>
  <c r="L28" i="9"/>
  <c r="M28" i="9"/>
  <c r="N28" i="9"/>
  <c r="L29" i="9"/>
  <c r="M29" i="9"/>
  <c r="N29" i="9"/>
  <c r="L30" i="9"/>
  <c r="M30" i="9"/>
  <c r="N30" i="9"/>
  <c r="L31" i="9"/>
  <c r="M31" i="9"/>
  <c r="N31" i="9"/>
  <c r="L32" i="9"/>
  <c r="M32" i="9"/>
  <c r="N32" i="9"/>
  <c r="L33" i="9"/>
  <c r="M33" i="9"/>
  <c r="N33" i="9"/>
  <c r="L34" i="9"/>
  <c r="M34" i="9"/>
  <c r="N34" i="9"/>
  <c r="M5" i="9"/>
  <c r="N5" i="9"/>
  <c r="L5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5" i="9"/>
  <c r="G6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5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5" i="9"/>
  <c r="E6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5" i="9"/>
  <c r="L6" i="8"/>
  <c r="M6" i="8"/>
  <c r="N6" i="8"/>
  <c r="L7" i="8"/>
  <c r="M7" i="8"/>
  <c r="N7" i="8"/>
  <c r="L8" i="8"/>
  <c r="M8" i="8"/>
  <c r="N8" i="8"/>
  <c r="L9" i="8"/>
  <c r="M9" i="8"/>
  <c r="N9" i="8"/>
  <c r="L10" i="8"/>
  <c r="M10" i="8"/>
  <c r="N10" i="8"/>
  <c r="L11" i="8"/>
  <c r="M11" i="8"/>
  <c r="N11" i="8"/>
  <c r="L12" i="8"/>
  <c r="M12" i="8"/>
  <c r="N12" i="8"/>
  <c r="L13" i="8"/>
  <c r="M13" i="8"/>
  <c r="N13" i="8"/>
  <c r="L14" i="8"/>
  <c r="M14" i="8"/>
  <c r="N14" i="8"/>
  <c r="L15" i="8"/>
  <c r="M15" i="8"/>
  <c r="N15" i="8"/>
  <c r="L16" i="8"/>
  <c r="M16" i="8"/>
  <c r="N16" i="8"/>
  <c r="L17" i="8"/>
  <c r="M17" i="8"/>
  <c r="N17" i="8"/>
  <c r="L18" i="8"/>
  <c r="M18" i="8"/>
  <c r="N18" i="8"/>
  <c r="L19" i="8"/>
  <c r="M19" i="8"/>
  <c r="N19" i="8"/>
  <c r="L20" i="8"/>
  <c r="M20" i="8"/>
  <c r="N20" i="8"/>
  <c r="L21" i="8"/>
  <c r="M21" i="8"/>
  <c r="N21" i="8"/>
  <c r="L22" i="8"/>
  <c r="M22" i="8"/>
  <c r="N22" i="8"/>
  <c r="L23" i="8"/>
  <c r="M23" i="8"/>
  <c r="N23" i="8"/>
  <c r="L24" i="8"/>
  <c r="M24" i="8"/>
  <c r="N24" i="8"/>
  <c r="L25" i="8"/>
  <c r="M25" i="8"/>
  <c r="N25" i="8"/>
  <c r="L26" i="8"/>
  <c r="M26" i="8"/>
  <c r="N26" i="8"/>
  <c r="L27" i="8"/>
  <c r="M27" i="8"/>
  <c r="N27" i="8"/>
  <c r="L28" i="8"/>
  <c r="M28" i="8"/>
  <c r="N28" i="8"/>
  <c r="L29" i="8"/>
  <c r="M29" i="8"/>
  <c r="N29" i="8"/>
  <c r="L30" i="8"/>
  <c r="M30" i="8"/>
  <c r="N30" i="8"/>
  <c r="L31" i="8"/>
  <c r="M31" i="8"/>
  <c r="N31" i="8"/>
  <c r="L32" i="8"/>
  <c r="M32" i="8"/>
  <c r="N32" i="8"/>
  <c r="L33" i="8"/>
  <c r="M33" i="8"/>
  <c r="N33" i="8"/>
  <c r="L34" i="8"/>
  <c r="M34" i="8"/>
  <c r="N34" i="8"/>
  <c r="N5" i="8"/>
  <c r="M5" i="8"/>
  <c r="L5" i="8"/>
  <c r="G34" i="8"/>
  <c r="G33" i="8"/>
  <c r="F34" i="8"/>
  <c r="F33" i="8"/>
  <c r="G28" i="8"/>
  <c r="G29" i="8"/>
  <c r="G30" i="8"/>
  <c r="G31" i="8"/>
  <c r="G32" i="8"/>
  <c r="G27" i="8"/>
  <c r="F28" i="8"/>
  <c r="F29" i="8"/>
  <c r="F30" i="8"/>
  <c r="F31" i="8"/>
  <c r="F32" i="8"/>
  <c r="F27" i="8"/>
  <c r="E34" i="8"/>
  <c r="E33" i="8"/>
  <c r="E28" i="8"/>
  <c r="E29" i="8"/>
  <c r="E30" i="8"/>
  <c r="E31" i="8"/>
  <c r="E32" i="8"/>
  <c r="E27" i="8"/>
  <c r="C34" i="8"/>
  <c r="C33" i="8"/>
  <c r="C28" i="8"/>
  <c r="C29" i="8"/>
  <c r="C30" i="8"/>
  <c r="C31" i="8"/>
  <c r="C32" i="8"/>
  <c r="C27" i="8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E6" i="8"/>
  <c r="F6" i="8"/>
  <c r="G6" i="8"/>
  <c r="E7" i="8"/>
  <c r="F7" i="8"/>
  <c r="G7" i="8"/>
  <c r="E8" i="8"/>
  <c r="F8" i="8"/>
  <c r="G8" i="8"/>
  <c r="E9" i="8"/>
  <c r="F9" i="8"/>
  <c r="G9" i="8"/>
  <c r="E10" i="8"/>
  <c r="F10" i="8"/>
  <c r="G10" i="8"/>
  <c r="E11" i="8"/>
  <c r="F11" i="8"/>
  <c r="G11" i="8"/>
  <c r="E12" i="8"/>
  <c r="F12" i="8"/>
  <c r="G12" i="8"/>
  <c r="E13" i="8"/>
  <c r="F13" i="8"/>
  <c r="G13" i="8"/>
  <c r="E14" i="8"/>
  <c r="F14" i="8"/>
  <c r="G14" i="8"/>
  <c r="E15" i="8"/>
  <c r="F15" i="8"/>
  <c r="G15" i="8"/>
  <c r="E16" i="8"/>
  <c r="F16" i="8"/>
  <c r="G16" i="8"/>
  <c r="E17" i="8"/>
  <c r="F17" i="8"/>
  <c r="G17" i="8"/>
  <c r="E18" i="8"/>
  <c r="F18" i="8"/>
  <c r="G18" i="8"/>
  <c r="E19" i="8"/>
  <c r="F19" i="8"/>
  <c r="G19" i="8"/>
  <c r="E20" i="8"/>
  <c r="F20" i="8"/>
  <c r="G20" i="8"/>
  <c r="E21" i="8"/>
  <c r="F21" i="8"/>
  <c r="G21" i="8"/>
  <c r="E22" i="8"/>
  <c r="F22" i="8"/>
  <c r="G22" i="8"/>
  <c r="E23" i="8"/>
  <c r="F23" i="8"/>
  <c r="G23" i="8"/>
  <c r="E24" i="8"/>
  <c r="F24" i="8"/>
  <c r="G24" i="8"/>
  <c r="E25" i="8"/>
  <c r="F25" i="8"/>
  <c r="G25" i="8"/>
  <c r="E26" i="8"/>
  <c r="F26" i="8"/>
  <c r="G26" i="8"/>
  <c r="G5" i="8"/>
  <c r="F5" i="8"/>
  <c r="E5" i="8"/>
  <c r="C5" i="8"/>
  <c r="L6" i="6"/>
  <c r="M6" i="6"/>
  <c r="N6" i="6"/>
  <c r="L7" i="6"/>
  <c r="M7" i="6"/>
  <c r="N7" i="6"/>
  <c r="L8" i="6"/>
  <c r="M8" i="6"/>
  <c r="N8" i="6"/>
  <c r="L9" i="6"/>
  <c r="M9" i="6"/>
  <c r="N9" i="6"/>
  <c r="L10" i="6"/>
  <c r="M10" i="6"/>
  <c r="N10" i="6"/>
  <c r="L11" i="6"/>
  <c r="M11" i="6"/>
  <c r="N11" i="6"/>
  <c r="L12" i="6"/>
  <c r="M12" i="6"/>
  <c r="N12" i="6"/>
  <c r="L13" i="6"/>
  <c r="M13" i="6"/>
  <c r="N13" i="6"/>
  <c r="L14" i="6"/>
  <c r="M14" i="6"/>
  <c r="N14" i="6"/>
  <c r="L15" i="6"/>
  <c r="M15" i="6"/>
  <c r="N15" i="6"/>
  <c r="L16" i="6"/>
  <c r="M16" i="6"/>
  <c r="N16" i="6"/>
  <c r="L17" i="6"/>
  <c r="M17" i="6"/>
  <c r="N17" i="6"/>
  <c r="L18" i="6"/>
  <c r="M18" i="6"/>
  <c r="N18" i="6"/>
  <c r="L19" i="6"/>
  <c r="M19" i="6"/>
  <c r="N19" i="6"/>
  <c r="L20" i="6"/>
  <c r="M20" i="6"/>
  <c r="N20" i="6"/>
  <c r="L21" i="6"/>
  <c r="M21" i="6"/>
  <c r="N21" i="6"/>
  <c r="L22" i="6"/>
  <c r="M22" i="6"/>
  <c r="N22" i="6"/>
  <c r="L23" i="6"/>
  <c r="M23" i="6"/>
  <c r="N23" i="6"/>
  <c r="L24" i="6"/>
  <c r="M24" i="6"/>
  <c r="N24" i="6"/>
  <c r="L25" i="6"/>
  <c r="M25" i="6"/>
  <c r="N25" i="6"/>
  <c r="L26" i="6"/>
  <c r="M26" i="6"/>
  <c r="N26" i="6"/>
  <c r="L27" i="6"/>
  <c r="M27" i="6"/>
  <c r="N27" i="6"/>
  <c r="L28" i="6"/>
  <c r="M28" i="6"/>
  <c r="N28" i="6"/>
  <c r="L29" i="6"/>
  <c r="M29" i="6"/>
  <c r="N29" i="6"/>
  <c r="L30" i="6"/>
  <c r="M30" i="6"/>
  <c r="N30" i="6"/>
  <c r="L31" i="6"/>
  <c r="M31" i="6"/>
  <c r="N31" i="6"/>
  <c r="L32" i="6"/>
  <c r="M32" i="6"/>
  <c r="N32" i="6"/>
  <c r="L33" i="6"/>
  <c r="M33" i="6"/>
  <c r="N33" i="6"/>
  <c r="L34" i="6"/>
  <c r="M34" i="6"/>
  <c r="N34" i="6"/>
  <c r="L35" i="6"/>
  <c r="M35" i="6"/>
  <c r="N35" i="6"/>
  <c r="L36" i="6"/>
  <c r="M36" i="6"/>
  <c r="N36" i="6"/>
  <c r="N5" i="6"/>
  <c r="M5" i="6"/>
  <c r="L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5" i="6"/>
  <c r="G41" i="7" l="1"/>
  <c r="G40" i="7"/>
  <c r="L21" i="7"/>
  <c r="L22" i="7"/>
  <c r="L20" i="7"/>
  <c r="L19" i="7"/>
  <c r="K10" i="7"/>
  <c r="C11" i="6" l="1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O15" i="5"/>
  <c r="C10" i="6" s="1"/>
  <c r="F15" i="5"/>
  <c r="E15" i="5"/>
  <c r="D15" i="5"/>
  <c r="O14" i="5"/>
  <c r="C9" i="6" s="1"/>
  <c r="F14" i="5"/>
  <c r="E14" i="5"/>
  <c r="D14" i="5"/>
  <c r="O13" i="5"/>
  <c r="C8" i="6" s="1"/>
  <c r="F13" i="5"/>
  <c r="E13" i="5"/>
  <c r="D13" i="5"/>
  <c r="F12" i="5"/>
  <c r="O12" i="5"/>
  <c r="C7" i="6" s="1"/>
  <c r="E12" i="5"/>
  <c r="D12" i="5"/>
  <c r="O11" i="5"/>
  <c r="C6" i="6" s="1"/>
  <c r="F11" i="5"/>
  <c r="E11" i="5"/>
  <c r="D11" i="5"/>
  <c r="O10" i="5"/>
  <c r="C5" i="6" s="1"/>
  <c r="F10" i="5"/>
  <c r="E10" i="5"/>
  <c r="D10" i="5"/>
  <c r="F11" i="1"/>
  <c r="F10" i="1"/>
  <c r="F9" i="1"/>
  <c r="F19" i="1"/>
  <c r="F20" i="1"/>
  <c r="F21" i="1"/>
  <c r="F22" i="1"/>
  <c r="F23" i="1"/>
  <c r="F24" i="1"/>
  <c r="F7" i="1"/>
  <c r="G7" i="1"/>
  <c r="F8" i="1"/>
  <c r="F18" i="1"/>
</calcChain>
</file>

<file path=xl/sharedStrings.xml><?xml version="1.0" encoding="utf-8"?>
<sst xmlns="http://schemas.openxmlformats.org/spreadsheetml/2006/main" count="290" uniqueCount="142">
  <si>
    <t>Total Holdings</t>
  </si>
  <si>
    <t>Cash and Deposits</t>
  </si>
  <si>
    <t>Federal Securities</t>
  </si>
  <si>
    <t>State and Local Government Securities</t>
  </si>
  <si>
    <t>Other Securities</t>
  </si>
  <si>
    <t>All States, by year (000)</t>
  </si>
  <si>
    <t>US Census, State Government Finances, Finances of State-Administered Public-Employee Retirement Systems</t>
  </si>
  <si>
    <t>Corporate Bonds</t>
  </si>
  <si>
    <t>US Treas Bonds</t>
  </si>
  <si>
    <t>Total</t>
  </si>
  <si>
    <t>Teachers and State Employees</t>
  </si>
  <si>
    <t>NC County Bonds</t>
  </si>
  <si>
    <t>NC Muni Bonds</t>
  </si>
  <si>
    <t>Public Housing Authority Bonds</t>
  </si>
  <si>
    <t>Farm Admin Mortgage Notes</t>
  </si>
  <si>
    <t>US Govt Agency Bonds</t>
  </si>
  <si>
    <t>Corporate Stock</t>
  </si>
  <si>
    <t>State Bonds</t>
  </si>
  <si>
    <t>Data for 1951-1956 do not appear in the reports. Here supemented by Andrews 1964 (526-527), which otherwise accurately presents census data</t>
  </si>
  <si>
    <t>Govt Nat Mortgage Bonds</t>
  </si>
  <si>
    <t>SBA Bonds</t>
  </si>
  <si>
    <t>FHA and HW mortgages</t>
  </si>
  <si>
    <t>Total Securities*</t>
  </si>
  <si>
    <t>US Government</t>
  </si>
  <si>
    <t>State of New York</t>
  </si>
  <si>
    <t>Authorities and Reg Districts</t>
  </si>
  <si>
    <t>Counties</t>
  </si>
  <si>
    <t>Cities</t>
  </si>
  <si>
    <t>Villages</t>
  </si>
  <si>
    <t>Towns</t>
  </si>
  <si>
    <t>School Districts</t>
  </si>
  <si>
    <t>Mortgages, CDs, other securities</t>
  </si>
  <si>
    <t>Corporate Securities (bonds)</t>
  </si>
  <si>
    <t>common stocks</t>
  </si>
  <si>
    <t>NYSERS</t>
  </si>
  <si>
    <t>FHA Debentures</t>
  </si>
  <si>
    <t>CDs and Misc</t>
  </si>
  <si>
    <t>Mortgages</t>
  </si>
  <si>
    <t>US Government Direct Obligations</t>
  </si>
  <si>
    <t>US Gov Agencies and Guaranteed Obligations</t>
  </si>
  <si>
    <t>Corp and Canadian Obligations</t>
  </si>
  <si>
    <t>Common Stock</t>
  </si>
  <si>
    <t>NY State and Authorities</t>
  </si>
  <si>
    <t>Cities/Towns/Villages</t>
  </si>
  <si>
    <t>Short Term US Government</t>
  </si>
  <si>
    <t>US Gov and Agencies</t>
  </si>
  <si>
    <t>NY State, Public Authorities, and Municipalities</t>
  </si>
  <si>
    <t>Corporate</t>
  </si>
  <si>
    <t>Data for the North Carolina Teachers' and State Employees Retirement System</t>
  </si>
  <si>
    <t>Figures from 1943 to 1955 taken from Biennial Report of the Treasurer of North Carolina. Figures from 1956 to 1974 taken from Annual Report of State Auditor.</t>
  </si>
  <si>
    <t>NC Teachers and State Employees State Retirement System</t>
  </si>
  <si>
    <t>Assest of New York State Employees Retirement System (NYSERS)</t>
  </si>
  <si>
    <t>Data collected from Annual Report of the Comptroller (New York). Breaks reflect changes in or consolidation of categories.</t>
  </si>
  <si>
    <t xml:space="preserve">Data from "NC State Data" is combined to match the Census categories. Cash is not listed in asset section of NC State data and so is ommitted. </t>
  </si>
  <si>
    <t xml:space="preserve">Data from "NYSERS Data" is combined to match the Census categories. Cash is not listed in asset section of NYSERS data and so is ommitted. </t>
  </si>
  <si>
    <t xml:space="preserve">For 1973 and 1974, Federal Securities include federal agency securities, which mingle with long term federal debt, thus overstating federal securities, and understating other securities by about $300 million. </t>
  </si>
  <si>
    <t>FINANCES OF PUBLIC EMPLOYEE-RETIREMENT SYSTEMS:</t>
  </si>
  <si>
    <t>Receipts</t>
  </si>
  <si>
    <t>Expenditures</t>
  </si>
  <si>
    <t>Cash, Securities, and Investments</t>
  </si>
  <si>
    <t>FISCAL YEAR 1957 - 2007</t>
  </si>
  <si>
    <t>Cash and Short-Term Investments</t>
  </si>
  <si>
    <t>Securities</t>
  </si>
  <si>
    <t>Other Investments</t>
  </si>
  <si>
    <t>(In thousands of dollars)</t>
  </si>
  <si>
    <t>Governmental securities</t>
  </si>
  <si>
    <t>Nongovernmental Securities</t>
  </si>
  <si>
    <t>Issued by Federal Government</t>
  </si>
  <si>
    <t>Issued by State and Local Governments</t>
  </si>
  <si>
    <t>Notes: "-11111" is a flag meaning not available.</t>
  </si>
  <si>
    <t>Government Contributions</t>
  </si>
  <si>
    <t>Adminis-</t>
  </si>
  <si>
    <t>Cash,</t>
  </si>
  <si>
    <t>Cash</t>
  </si>
  <si>
    <t>Bonds and Stocks</t>
  </si>
  <si>
    <t>All Other Nongovernmental Securities</t>
  </si>
  <si>
    <t>"M.B." is measurement basis for corporate bonds and stocks.</t>
  </si>
  <si>
    <t>From</t>
  </si>
  <si>
    <t>Earnings</t>
  </si>
  <si>
    <t>trative</t>
  </si>
  <si>
    <t>Securities,</t>
  </si>
  <si>
    <t>and</t>
  </si>
  <si>
    <t>Time or</t>
  </si>
  <si>
    <t>Govern-</t>
  </si>
  <si>
    <t>Nongov-</t>
  </si>
  <si>
    <t>GOVS</t>
  </si>
  <si>
    <t>State Codes</t>
  </si>
  <si>
    <t>Type</t>
  </si>
  <si>
    <t>State and Level</t>
  </si>
  <si>
    <t>Employee</t>
  </si>
  <si>
    <t>Federal</t>
  </si>
  <si>
    <t>State</t>
  </si>
  <si>
    <t>Local</t>
  </si>
  <si>
    <t>on</t>
  </si>
  <si>
    <t>and Other</t>
  </si>
  <si>
    <t>Demand</t>
  </si>
  <si>
    <t>Savings</t>
  </si>
  <si>
    <t>mental</t>
  </si>
  <si>
    <t>U.S.</t>
  </si>
  <si>
    <t>Administering</t>
  </si>
  <si>
    <t>ernmental</t>
  </si>
  <si>
    <t>Loans to</t>
  </si>
  <si>
    <t>Foreign</t>
  </si>
  <si>
    <t>Funds Held</t>
  </si>
  <si>
    <t>All Other</t>
  </si>
  <si>
    <t>Real</t>
  </si>
  <si>
    <t>Misc.</t>
  </si>
  <si>
    <t>Sort</t>
  </si>
  <si>
    <t>Year</t>
  </si>
  <si>
    <t>ID</t>
  </si>
  <si>
    <t>FIPS</t>
  </si>
  <si>
    <t>Code</t>
  </si>
  <si>
    <t>M.B.</t>
  </si>
  <si>
    <t>of Government</t>
  </si>
  <si>
    <t>Contributions</t>
  </si>
  <si>
    <t>Government</t>
  </si>
  <si>
    <t>Governments</t>
  </si>
  <si>
    <t>Investments</t>
  </si>
  <si>
    <t>Benefits</t>
  </si>
  <si>
    <t>Withdrawals</t>
  </si>
  <si>
    <t>Expenses</t>
  </si>
  <si>
    <t>Deposits</t>
  </si>
  <si>
    <t>Treasury</t>
  </si>
  <si>
    <t>Agency</t>
  </si>
  <si>
    <t>Other</t>
  </si>
  <si>
    <t>Bonds</t>
  </si>
  <si>
    <t>Stock</t>
  </si>
  <si>
    <t>Members</t>
  </si>
  <si>
    <t>in Trust</t>
  </si>
  <si>
    <t>Property</t>
  </si>
  <si>
    <t>00-1</t>
  </si>
  <si>
    <t>00</t>
  </si>
  <si>
    <t>-</t>
  </si>
  <si>
    <t>P</t>
  </si>
  <si>
    <t>US, Total</t>
  </si>
  <si>
    <t>Data from "US Census All States" is reproduced here in simplified form, omitting Cash, which is not included in state series.</t>
  </si>
  <si>
    <t>Corporate Stocks</t>
  </si>
  <si>
    <t>Municipal Yields as Percentage of Corporate Yields</t>
  </si>
  <si>
    <t>Corporate Yields as Percentage of Municipal Yields</t>
  </si>
  <si>
    <t>Yield Spreads, Basis Points</t>
  </si>
  <si>
    <t>Municipal Yields minus Corporate Yields (Basis Points)</t>
  </si>
  <si>
    <r>
      <t xml:space="preserve">Source: </t>
    </r>
    <r>
      <rPr>
        <sz val="10"/>
        <color theme="1"/>
        <rFont val="Times New Roman"/>
        <family val="1"/>
      </rPr>
      <t>Homer, “Factors Determining Municipal Bond Yields,” 296 (Appendix B -- A Comparison Between Long-Term Prime Municipal Yields and Long-Term Prime Corporate Bond Yields)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</si>
</sst>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&quot;$&quot;#,##0"/>
  </numFmts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indexed="12"/>
      <name val="Courier New"/>
      <family val="3"/>
    </font>
    <font>
      <b/>
      <sz val="10"/>
      <name val="Courier New"/>
      <family val="3"/>
    </font>
    <font>
      <i/>
      <sz val="10"/>
      <name val="Courier New"/>
      <family val="3"/>
    </font>
    <font>
      <sz val="10"/>
      <name val="Courier New"/>
      <family val="3"/>
    </font>
    <font>
      <i/>
      <sz val="9"/>
      <name val="Courier New"/>
      <family val="3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/>
    <xf numFmtId="0" fontId="0" fillId="2" borderId="0" xfId="0" applyFill="1"/>
    <xf numFmtId="0" fontId="0" fillId="2" borderId="0" xfId="0" applyFill="1" applyAlignment="1">
      <alignment horizontal="center"/>
    </xf>
    <xf numFmtId="165" fontId="0" fillId="0" borderId="0" xfId="0" applyNumberFormat="1"/>
    <xf numFmtId="0" fontId="0" fillId="3" borderId="0" xfId="0" applyFill="1"/>
    <xf numFmtId="0" fontId="1" fillId="0" borderId="0" xfId="0" applyFont="1"/>
    <xf numFmtId="165" fontId="1" fillId="0" borderId="0" xfId="0" applyNumberFormat="1" applyFont="1"/>
    <xf numFmtId="165" fontId="0" fillId="2" borderId="0" xfId="0" applyNumberFormat="1" applyFill="1"/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2" xfId="0" applyFont="1" applyBorder="1"/>
    <xf numFmtId="0" fontId="5" fillId="0" borderId="0" xfId="0" applyFont="1"/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1" xfId="0" applyFont="1" applyBorder="1"/>
    <xf numFmtId="3" fontId="2" fillId="0" borderId="0" xfId="0" applyNumberFormat="1" applyFont="1" applyAlignment="1">
      <alignment horizontal="right"/>
    </xf>
    <xf numFmtId="3" fontId="2" fillId="0" borderId="1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3" fontId="0" fillId="0" borderId="0" xfId="0" applyNumberFormat="1"/>
    <xf numFmtId="165" fontId="0" fillId="0" borderId="0" xfId="0" applyNumberFormat="1" applyFill="1"/>
    <xf numFmtId="0" fontId="0" fillId="0" borderId="0" xfId="0" applyFill="1" applyAlignment="1">
      <alignment horizontal="center"/>
    </xf>
    <xf numFmtId="0" fontId="0" fillId="0" borderId="0" xfId="0" applyFill="1"/>
    <xf numFmtId="164" fontId="0" fillId="0" borderId="0" xfId="0" applyNumberFormat="1" applyFill="1"/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State-Level</a:t>
            </a:r>
            <a:r>
              <a:rPr lang="en-US" baseline="0"/>
              <a:t> Pension Assets ($ Millions)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'US Census All States Simple'!$E$4</c:f>
              <c:strCache>
                <c:ptCount val="1"/>
                <c:pt idx="0">
                  <c:v>State and Local Government Securities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'US Census All States Simple'!$A$5:$A$34</c:f>
              <c:numCache>
                <c:formatCode>General</c:formatCode>
                <c:ptCount val="30"/>
                <c:pt idx="0">
                  <c:v>1944</c:v>
                </c:pt>
                <c:pt idx="1">
                  <c:v>1947</c:v>
                </c:pt>
                <c:pt idx="2">
                  <c:v>1948</c:v>
                </c:pt>
                <c:pt idx="3">
                  <c:v>1949</c:v>
                </c:pt>
                <c:pt idx="4">
                  <c:v>1950</c:v>
                </c:pt>
                <c:pt idx="5">
                  <c:v>1951</c:v>
                </c:pt>
                <c:pt idx="6">
                  <c:v>1952</c:v>
                </c:pt>
                <c:pt idx="7">
                  <c:v>1953</c:v>
                </c:pt>
                <c:pt idx="8">
                  <c:v>1954</c:v>
                </c:pt>
                <c:pt idx="9">
                  <c:v>1955</c:v>
                </c:pt>
                <c:pt idx="10">
                  <c:v>1956</c:v>
                </c:pt>
                <c:pt idx="11">
                  <c:v>1957</c:v>
                </c:pt>
                <c:pt idx="12">
                  <c:v>1958</c:v>
                </c:pt>
                <c:pt idx="13">
                  <c:v>1959</c:v>
                </c:pt>
                <c:pt idx="14">
                  <c:v>1960</c:v>
                </c:pt>
                <c:pt idx="15">
                  <c:v>1961</c:v>
                </c:pt>
                <c:pt idx="16">
                  <c:v>1962</c:v>
                </c:pt>
                <c:pt idx="17">
                  <c:v>1963</c:v>
                </c:pt>
                <c:pt idx="18">
                  <c:v>1964</c:v>
                </c:pt>
                <c:pt idx="19">
                  <c:v>1965</c:v>
                </c:pt>
                <c:pt idx="20">
                  <c:v>1966</c:v>
                </c:pt>
                <c:pt idx="21">
                  <c:v>1967</c:v>
                </c:pt>
                <c:pt idx="22">
                  <c:v>1968</c:v>
                </c:pt>
                <c:pt idx="23">
                  <c:v>1969</c:v>
                </c:pt>
                <c:pt idx="24">
                  <c:v>1970</c:v>
                </c:pt>
                <c:pt idx="25">
                  <c:v>1971</c:v>
                </c:pt>
                <c:pt idx="26">
                  <c:v>1972</c:v>
                </c:pt>
                <c:pt idx="27">
                  <c:v>1973</c:v>
                </c:pt>
                <c:pt idx="28">
                  <c:v>1974</c:v>
                </c:pt>
                <c:pt idx="29">
                  <c:v>1975</c:v>
                </c:pt>
              </c:numCache>
            </c:numRef>
          </c:cat>
          <c:val>
            <c:numRef>
              <c:f>'US Census All States Simple'!$E$5:$E$34</c:f>
              <c:numCache>
                <c:formatCode>"$"#,##0</c:formatCode>
                <c:ptCount val="30"/>
                <c:pt idx="0">
                  <c:v>613.15099999999995</c:v>
                </c:pt>
                <c:pt idx="1">
                  <c:v>364.46800000000002</c:v>
                </c:pt>
                <c:pt idx="2">
                  <c:v>442.71100000000001</c:v>
                </c:pt>
                <c:pt idx="3">
                  <c:v>471.81799999999998</c:v>
                </c:pt>
                <c:pt idx="4">
                  <c:v>543.77200000000005</c:v>
                </c:pt>
                <c:pt idx="5">
                  <c:v>570</c:v>
                </c:pt>
                <c:pt idx="6">
                  <c:v>578</c:v>
                </c:pt>
                <c:pt idx="7">
                  <c:v>705</c:v>
                </c:pt>
                <c:pt idx="8">
                  <c:v>900</c:v>
                </c:pt>
                <c:pt idx="9">
                  <c:v>1100</c:v>
                </c:pt>
                <c:pt idx="10">
                  <c:v>1300</c:v>
                </c:pt>
                <c:pt idx="11">
                  <c:v>1485.49</c:v>
                </c:pt>
                <c:pt idx="12">
                  <c:v>1685.9459999999999</c:v>
                </c:pt>
                <c:pt idx="13">
                  <c:v>1852.3979999999999</c:v>
                </c:pt>
                <c:pt idx="14">
                  <c:v>1920.1880000000001</c:v>
                </c:pt>
                <c:pt idx="15">
                  <c:v>1908.848</c:v>
                </c:pt>
                <c:pt idx="16">
                  <c:v>1720.184</c:v>
                </c:pt>
                <c:pt idx="17">
                  <c:v>1406.662</c:v>
                </c:pt>
                <c:pt idx="18">
                  <c:v>1153.673</c:v>
                </c:pt>
                <c:pt idx="19">
                  <c:v>941.48</c:v>
                </c:pt>
                <c:pt idx="20">
                  <c:v>758.71900000000005</c:v>
                </c:pt>
                <c:pt idx="21">
                  <c:v>701.99800000000005</c:v>
                </c:pt>
                <c:pt idx="22">
                  <c:v>674.61099999999999</c:v>
                </c:pt>
                <c:pt idx="23">
                  <c:v>565.87</c:v>
                </c:pt>
                <c:pt idx="24">
                  <c:v>561.98</c:v>
                </c:pt>
                <c:pt idx="25">
                  <c:v>575.05899999999997</c:v>
                </c:pt>
                <c:pt idx="26">
                  <c:v>682.82100000000003</c:v>
                </c:pt>
                <c:pt idx="27">
                  <c:v>344.54899999999998</c:v>
                </c:pt>
                <c:pt idx="28">
                  <c:v>330.00900000000001</c:v>
                </c:pt>
                <c:pt idx="29">
                  <c:v>207.14599999999999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03-42CA-A7B5-7F0154E2DAC7}"/>
            </c:ext>
          </c:extLst>
        </c:ser>
        <c:ser>
          <c:idx val="1"/>
          <c:order val="1"/>
          <c:tx>
            <c:strRef>
              <c:f>'US Census All States Simple'!$F$4</c:f>
              <c:strCache>
                <c:ptCount val="1"/>
                <c:pt idx="0">
                  <c:v>Federal Securities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'US Census All States Simple'!$A$5:$A$34</c:f>
              <c:numCache>
                <c:formatCode>General</c:formatCode>
                <c:ptCount val="30"/>
                <c:pt idx="0">
                  <c:v>1944</c:v>
                </c:pt>
                <c:pt idx="1">
                  <c:v>1947</c:v>
                </c:pt>
                <c:pt idx="2">
                  <c:v>1948</c:v>
                </c:pt>
                <c:pt idx="3">
                  <c:v>1949</c:v>
                </c:pt>
                <c:pt idx="4">
                  <c:v>1950</c:v>
                </c:pt>
                <c:pt idx="5">
                  <c:v>1951</c:v>
                </c:pt>
                <c:pt idx="6">
                  <c:v>1952</c:v>
                </c:pt>
                <c:pt idx="7">
                  <c:v>1953</c:v>
                </c:pt>
                <c:pt idx="8">
                  <c:v>1954</c:v>
                </c:pt>
                <c:pt idx="9">
                  <c:v>1955</c:v>
                </c:pt>
                <c:pt idx="10">
                  <c:v>1956</c:v>
                </c:pt>
                <c:pt idx="11">
                  <c:v>1957</c:v>
                </c:pt>
                <c:pt idx="12">
                  <c:v>1958</c:v>
                </c:pt>
                <c:pt idx="13">
                  <c:v>1959</c:v>
                </c:pt>
                <c:pt idx="14">
                  <c:v>1960</c:v>
                </c:pt>
                <c:pt idx="15">
                  <c:v>1961</c:v>
                </c:pt>
                <c:pt idx="16">
                  <c:v>1962</c:v>
                </c:pt>
                <c:pt idx="17">
                  <c:v>1963</c:v>
                </c:pt>
                <c:pt idx="18">
                  <c:v>1964</c:v>
                </c:pt>
                <c:pt idx="19">
                  <c:v>1965</c:v>
                </c:pt>
                <c:pt idx="20">
                  <c:v>1966</c:v>
                </c:pt>
                <c:pt idx="21">
                  <c:v>1967</c:v>
                </c:pt>
                <c:pt idx="22">
                  <c:v>1968</c:v>
                </c:pt>
                <c:pt idx="23">
                  <c:v>1969</c:v>
                </c:pt>
                <c:pt idx="24">
                  <c:v>1970</c:v>
                </c:pt>
                <c:pt idx="25">
                  <c:v>1971</c:v>
                </c:pt>
                <c:pt idx="26">
                  <c:v>1972</c:v>
                </c:pt>
                <c:pt idx="27">
                  <c:v>1973</c:v>
                </c:pt>
                <c:pt idx="28">
                  <c:v>1974</c:v>
                </c:pt>
                <c:pt idx="29">
                  <c:v>1975</c:v>
                </c:pt>
              </c:numCache>
            </c:numRef>
          </c:cat>
          <c:val>
            <c:numRef>
              <c:f>'US Census All States Simple'!$F$5:$F$34</c:f>
              <c:numCache>
                <c:formatCode>"$"#,##0</c:formatCode>
                <c:ptCount val="30"/>
                <c:pt idx="0">
                  <c:v>487.47300000000001</c:v>
                </c:pt>
                <c:pt idx="1">
                  <c:v>1262.67</c:v>
                </c:pt>
                <c:pt idx="2">
                  <c:v>1457.8989999999999</c:v>
                </c:pt>
                <c:pt idx="3">
                  <c:v>1679.25</c:v>
                </c:pt>
                <c:pt idx="4">
                  <c:v>1895.752</c:v>
                </c:pt>
                <c:pt idx="5">
                  <c:v>2244</c:v>
                </c:pt>
                <c:pt idx="6">
                  <c:v>2539</c:v>
                </c:pt>
                <c:pt idx="7">
                  <c:v>2777</c:v>
                </c:pt>
                <c:pt idx="8">
                  <c:v>2900</c:v>
                </c:pt>
                <c:pt idx="9">
                  <c:v>3100</c:v>
                </c:pt>
                <c:pt idx="10">
                  <c:v>3400</c:v>
                </c:pt>
                <c:pt idx="11">
                  <c:v>3572.8719999999998</c:v>
                </c:pt>
                <c:pt idx="12">
                  <c:v>3572.038</c:v>
                </c:pt>
                <c:pt idx="13">
                  <c:v>3845.8049999999998</c:v>
                </c:pt>
                <c:pt idx="14">
                  <c:v>4162.1049999999996</c:v>
                </c:pt>
                <c:pt idx="15">
                  <c:v>4141.5720000000001</c:v>
                </c:pt>
                <c:pt idx="16">
                  <c:v>4149.26</c:v>
                </c:pt>
                <c:pt idx="17">
                  <c:v>4470.5010000000002</c:v>
                </c:pt>
                <c:pt idx="18">
                  <c:v>4775.6319999999996</c:v>
                </c:pt>
                <c:pt idx="19">
                  <c:v>5186.201</c:v>
                </c:pt>
                <c:pt idx="20">
                  <c:v>4952.3040000000001</c:v>
                </c:pt>
                <c:pt idx="21">
                  <c:v>4589.5280000000002</c:v>
                </c:pt>
                <c:pt idx="22">
                  <c:v>4120.3360000000002</c:v>
                </c:pt>
                <c:pt idx="23">
                  <c:v>3814.2060000000001</c:v>
                </c:pt>
                <c:pt idx="24">
                  <c:v>3241.6469999999999</c:v>
                </c:pt>
                <c:pt idx="25">
                  <c:v>2912.6390000000001</c:v>
                </c:pt>
                <c:pt idx="26">
                  <c:v>2243.277</c:v>
                </c:pt>
                <c:pt idx="27">
                  <c:v>2164.748</c:v>
                </c:pt>
                <c:pt idx="28">
                  <c:v>3697.2840000000001</c:v>
                </c:pt>
                <c:pt idx="29">
                  <c:v>4882.9979999999996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03-42CA-A7B5-7F0154E2DAC7}"/>
            </c:ext>
          </c:extLst>
        </c:ser>
        <c:ser>
          <c:idx val="2"/>
          <c:order val="2"/>
          <c:tx>
            <c:strRef>
              <c:f>'US Census All States Simple'!$G$4</c:f>
              <c:strCache>
                <c:ptCount val="1"/>
                <c:pt idx="0">
                  <c:v>Other Securities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'US Census All States Simple'!$A$5:$A$34</c:f>
              <c:numCache>
                <c:formatCode>General</c:formatCode>
                <c:ptCount val="30"/>
                <c:pt idx="0">
                  <c:v>1944</c:v>
                </c:pt>
                <c:pt idx="1">
                  <c:v>1947</c:v>
                </c:pt>
                <c:pt idx="2">
                  <c:v>1948</c:v>
                </c:pt>
                <c:pt idx="3">
                  <c:v>1949</c:v>
                </c:pt>
                <c:pt idx="4">
                  <c:v>1950</c:v>
                </c:pt>
                <c:pt idx="5">
                  <c:v>1951</c:v>
                </c:pt>
                <c:pt idx="6">
                  <c:v>1952</c:v>
                </c:pt>
                <c:pt idx="7">
                  <c:v>1953</c:v>
                </c:pt>
                <c:pt idx="8">
                  <c:v>1954</c:v>
                </c:pt>
                <c:pt idx="9">
                  <c:v>1955</c:v>
                </c:pt>
                <c:pt idx="10">
                  <c:v>1956</c:v>
                </c:pt>
                <c:pt idx="11">
                  <c:v>1957</c:v>
                </c:pt>
                <c:pt idx="12">
                  <c:v>1958</c:v>
                </c:pt>
                <c:pt idx="13">
                  <c:v>1959</c:v>
                </c:pt>
                <c:pt idx="14">
                  <c:v>1960</c:v>
                </c:pt>
                <c:pt idx="15">
                  <c:v>1961</c:v>
                </c:pt>
                <c:pt idx="16">
                  <c:v>1962</c:v>
                </c:pt>
                <c:pt idx="17">
                  <c:v>1963</c:v>
                </c:pt>
                <c:pt idx="18">
                  <c:v>1964</c:v>
                </c:pt>
                <c:pt idx="19">
                  <c:v>1965</c:v>
                </c:pt>
                <c:pt idx="20">
                  <c:v>1966</c:v>
                </c:pt>
                <c:pt idx="21">
                  <c:v>1967</c:v>
                </c:pt>
                <c:pt idx="22">
                  <c:v>1968</c:v>
                </c:pt>
                <c:pt idx="23">
                  <c:v>1969</c:v>
                </c:pt>
                <c:pt idx="24">
                  <c:v>1970</c:v>
                </c:pt>
                <c:pt idx="25">
                  <c:v>1971</c:v>
                </c:pt>
                <c:pt idx="26">
                  <c:v>1972</c:v>
                </c:pt>
                <c:pt idx="27">
                  <c:v>1973</c:v>
                </c:pt>
                <c:pt idx="28">
                  <c:v>1974</c:v>
                </c:pt>
                <c:pt idx="29">
                  <c:v>1975</c:v>
                </c:pt>
              </c:numCache>
            </c:numRef>
          </c:cat>
          <c:val>
            <c:numRef>
              <c:f>'US Census All States Simple'!$G$5:$G$34</c:f>
              <c:numCache>
                <c:formatCode>"$"#,##0</c:formatCode>
                <c:ptCount val="30"/>
                <c:pt idx="0">
                  <c:v>124.01600000000001</c:v>
                </c:pt>
                <c:pt idx="1">
                  <c:v>121.682</c:v>
                </c:pt>
                <c:pt idx="2">
                  <c:v>141.44399999999999</c:v>
                </c:pt>
                <c:pt idx="3">
                  <c:v>232.67099999999999</c:v>
                </c:pt>
                <c:pt idx="4">
                  <c:v>368.45800000000003</c:v>
                </c:pt>
                <c:pt idx="5">
                  <c:v>564</c:v>
                </c:pt>
                <c:pt idx="6">
                  <c:v>835</c:v>
                </c:pt>
                <c:pt idx="7">
                  <c:v>1093</c:v>
                </c:pt>
                <c:pt idx="8">
                  <c:v>1400</c:v>
                </c:pt>
                <c:pt idx="9">
                  <c:v>1900</c:v>
                </c:pt>
                <c:pt idx="10">
                  <c:v>2300</c:v>
                </c:pt>
                <c:pt idx="11">
                  <c:v>2881.547</c:v>
                </c:pt>
                <c:pt idx="12">
                  <c:v>3864.7890000000002</c:v>
                </c:pt>
                <c:pt idx="13">
                  <c:v>4678.99</c:v>
                </c:pt>
                <c:pt idx="14">
                  <c:v>5931.3289999999997</c:v>
                </c:pt>
                <c:pt idx="15">
                  <c:v>7602.5770000000002</c:v>
                </c:pt>
                <c:pt idx="16">
                  <c:v>9524.7929999999997</c:v>
                </c:pt>
                <c:pt idx="17">
                  <c:v>11428.855</c:v>
                </c:pt>
                <c:pt idx="18">
                  <c:v>13651.173000000001</c:v>
                </c:pt>
                <c:pt idx="19">
                  <c:v>15812.709000000001</c:v>
                </c:pt>
                <c:pt idx="20">
                  <c:v>18811.764999999999</c:v>
                </c:pt>
                <c:pt idx="21">
                  <c:v>22133.705999999998</c:v>
                </c:pt>
                <c:pt idx="22">
                  <c:v>26046.392</c:v>
                </c:pt>
                <c:pt idx="23">
                  <c:v>30611.204000000002</c:v>
                </c:pt>
                <c:pt idx="24">
                  <c:v>35912.406999999999</c:v>
                </c:pt>
                <c:pt idx="25">
                  <c:v>41468.324000000001</c:v>
                </c:pt>
                <c:pt idx="26">
                  <c:v>47418.487000000001</c:v>
                </c:pt>
                <c:pt idx="27">
                  <c:v>55457.966</c:v>
                </c:pt>
                <c:pt idx="28">
                  <c:v>61413.677000000003</c:v>
                </c:pt>
                <c:pt idx="29">
                  <c:v>68813.09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203-42CA-A7B5-7F0154E2DA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53788319"/>
        <c:axId val="1853795391"/>
      </c:barChart>
      <c:catAx>
        <c:axId val="18537883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3795391"/>
        <c:crosses val="autoZero"/>
        <c:auto val="1"/>
        <c:lblAlgn val="ctr"/>
        <c:lblOffset val="100"/>
        <c:noMultiLvlLbl val="0"/>
      </c:catAx>
      <c:valAx>
        <c:axId val="18537953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37883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Long-Term Prime Municipal Yields vs. Long-Term Prime Corparate Yields 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'[1]Figure 1 Data'!$G$1</c:f>
              <c:strCache>
                <c:ptCount val="1"/>
                <c:pt idx="0">
                  <c:v>Municipal Yields minus Corporate Yields (Basis Points)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'[1]Figure 1 Data'!$G$2:$G$68</c:f>
              <c:numCache>
                <c:formatCode>General</c:formatCode>
                <c:ptCount val="67"/>
                <c:pt idx="0">
                  <c:v>-6</c:v>
                </c:pt>
                <c:pt idx="1">
                  <c:v>-18</c:v>
                </c:pt>
                <c:pt idx="2">
                  <c:v>-16</c:v>
                </c:pt>
                <c:pt idx="3">
                  <c:v>-25</c:v>
                </c:pt>
                <c:pt idx="4">
                  <c:v>-17</c:v>
                </c:pt>
                <c:pt idx="5">
                  <c:v>-3</c:v>
                </c:pt>
                <c:pt idx="6">
                  <c:v>-22</c:v>
                </c:pt>
                <c:pt idx="7">
                  <c:v>-25</c:v>
                </c:pt>
                <c:pt idx="8">
                  <c:v>-3</c:v>
                </c:pt>
                <c:pt idx="9">
                  <c:v>-2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31</c:v>
                </c:pt>
                <c:pt idx="14">
                  <c:v>5</c:v>
                </c:pt>
                <c:pt idx="15">
                  <c:v>6</c:v>
                </c:pt>
                <c:pt idx="16">
                  <c:v>-5</c:v>
                </c:pt>
                <c:pt idx="17">
                  <c:v>-18</c:v>
                </c:pt>
                <c:pt idx="18">
                  <c:v>-25</c:v>
                </c:pt>
                <c:pt idx="19">
                  <c:v>-34</c:v>
                </c:pt>
                <c:pt idx="20">
                  <c:v>-47</c:v>
                </c:pt>
                <c:pt idx="21">
                  <c:v>-31</c:v>
                </c:pt>
                <c:pt idx="22">
                  <c:v>-44</c:v>
                </c:pt>
                <c:pt idx="23">
                  <c:v>-53</c:v>
                </c:pt>
                <c:pt idx="24">
                  <c:v>-59</c:v>
                </c:pt>
                <c:pt idx="25">
                  <c:v>-60</c:v>
                </c:pt>
                <c:pt idx="26">
                  <c:v>-41</c:v>
                </c:pt>
                <c:pt idx="27">
                  <c:v>-33</c:v>
                </c:pt>
                <c:pt idx="28">
                  <c:v>-39</c:v>
                </c:pt>
                <c:pt idx="29">
                  <c:v>-45</c:v>
                </c:pt>
                <c:pt idx="30">
                  <c:v>-44</c:v>
                </c:pt>
                <c:pt idx="31">
                  <c:v>-62</c:v>
                </c:pt>
                <c:pt idx="32">
                  <c:v>-106</c:v>
                </c:pt>
                <c:pt idx="33">
                  <c:v>-74</c:v>
                </c:pt>
                <c:pt idx="34">
                  <c:v>-46</c:v>
                </c:pt>
                <c:pt idx="35">
                  <c:v>-76</c:v>
                </c:pt>
                <c:pt idx="36">
                  <c:v>-66</c:v>
                </c:pt>
                <c:pt idx="37">
                  <c:v>-44</c:v>
                </c:pt>
                <c:pt idx="38">
                  <c:v>-45</c:v>
                </c:pt>
                <c:pt idx="39">
                  <c:v>-85</c:v>
                </c:pt>
                <c:pt idx="40">
                  <c:v>-90</c:v>
                </c:pt>
                <c:pt idx="41">
                  <c:v>-99</c:v>
                </c:pt>
                <c:pt idx="42">
                  <c:v>-84</c:v>
                </c:pt>
                <c:pt idx="43">
                  <c:v>-108</c:v>
                </c:pt>
                <c:pt idx="44">
                  <c:v>-139</c:v>
                </c:pt>
                <c:pt idx="45">
                  <c:v>-149</c:v>
                </c:pt>
                <c:pt idx="46">
                  <c:v>-133</c:v>
                </c:pt>
                <c:pt idx="47">
                  <c:v>-111</c:v>
                </c:pt>
                <c:pt idx="48">
                  <c:v>-91</c:v>
                </c:pt>
                <c:pt idx="49">
                  <c:v>-103</c:v>
                </c:pt>
                <c:pt idx="50">
                  <c:v>-110</c:v>
                </c:pt>
                <c:pt idx="51">
                  <c:v>-111</c:v>
                </c:pt>
                <c:pt idx="52">
                  <c:v>-101</c:v>
                </c:pt>
                <c:pt idx="53">
                  <c:v>-82</c:v>
                </c:pt>
                <c:pt idx="54">
                  <c:v>-65</c:v>
                </c:pt>
                <c:pt idx="55">
                  <c:v>-76</c:v>
                </c:pt>
                <c:pt idx="56">
                  <c:v>-81</c:v>
                </c:pt>
                <c:pt idx="57">
                  <c:v>-88</c:v>
                </c:pt>
                <c:pt idx="58">
                  <c:v>-94</c:v>
                </c:pt>
                <c:pt idx="59">
                  <c:v>-105</c:v>
                </c:pt>
                <c:pt idx="60">
                  <c:v>-99</c:v>
                </c:pt>
                <c:pt idx="61">
                  <c:v>-94</c:v>
                </c:pt>
                <c:pt idx="62">
                  <c:v>-111</c:v>
                </c:pt>
                <c:pt idx="63">
                  <c:v>-104</c:v>
                </c:pt>
                <c:pt idx="64">
                  <c:v>-110</c:v>
                </c:pt>
                <c:pt idx="65">
                  <c:v>-115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86-4E68-9DB4-E9680E8BF6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325431224"/>
        <c:axId val="325430896"/>
      </c:barChart>
      <c:lineChart>
        <c:grouping val="standard"/>
        <c:varyColors val="0"/>
        <c:ser>
          <c:idx val="0"/>
          <c:order val="1"/>
          <c:tx>
            <c:strRef>
              <c:f>'[1]Figure 1 Data'!$C$1</c:f>
              <c:strCache>
                <c:ptCount val="1"/>
                <c:pt idx="0">
                  <c:v>Municipal Yields as Percentage of Corporate Yields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'[1]Figure 1 Data'!$B$2:$B$67</c:f>
              <c:numCache>
                <c:formatCode>General</c:formatCode>
                <c:ptCount val="66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</c:numCache>
            </c:numRef>
          </c:cat>
          <c:val>
            <c:numRef>
              <c:f>'[1]Figure 1 Data'!$I$2:$I$67</c:f>
              <c:numCache>
                <c:formatCode>General</c:formatCode>
                <c:ptCount val="66"/>
                <c:pt idx="0">
                  <c:v>0.98</c:v>
                </c:pt>
                <c:pt idx="1">
                  <c:v>0.94</c:v>
                </c:pt>
                <c:pt idx="2">
                  <c:v>0.95</c:v>
                </c:pt>
                <c:pt idx="3">
                  <c:v>0.93</c:v>
                </c:pt>
                <c:pt idx="4">
                  <c:v>0.95</c:v>
                </c:pt>
                <c:pt idx="5">
                  <c:v>0.99</c:v>
                </c:pt>
                <c:pt idx="6">
                  <c:v>0.94</c:v>
                </c:pt>
                <c:pt idx="7">
                  <c:v>0.93</c:v>
                </c:pt>
                <c:pt idx="8">
                  <c:v>0.99</c:v>
                </c:pt>
                <c:pt idx="9">
                  <c:v>0.99</c:v>
                </c:pt>
                <c:pt idx="10">
                  <c:v>1.01</c:v>
                </c:pt>
                <c:pt idx="11">
                  <c:v>1.01</c:v>
                </c:pt>
                <c:pt idx="12">
                  <c:v>1.02</c:v>
                </c:pt>
                <c:pt idx="13">
                  <c:v>1.08</c:v>
                </c:pt>
                <c:pt idx="14">
                  <c:v>1.02</c:v>
                </c:pt>
                <c:pt idx="15">
                  <c:v>1.02</c:v>
                </c:pt>
                <c:pt idx="16">
                  <c:v>0.99</c:v>
                </c:pt>
                <c:pt idx="17">
                  <c:v>0.96</c:v>
                </c:pt>
                <c:pt idx="18">
                  <c:v>0.95</c:v>
                </c:pt>
                <c:pt idx="19">
                  <c:v>0.93</c:v>
                </c:pt>
                <c:pt idx="20">
                  <c:v>0.91</c:v>
                </c:pt>
                <c:pt idx="21">
                  <c:v>0.94</c:v>
                </c:pt>
                <c:pt idx="22">
                  <c:v>0.91</c:v>
                </c:pt>
                <c:pt idx="23">
                  <c:v>0.88</c:v>
                </c:pt>
                <c:pt idx="24">
                  <c:v>0.87</c:v>
                </c:pt>
                <c:pt idx="25">
                  <c:v>0.87</c:v>
                </c:pt>
                <c:pt idx="26">
                  <c:v>0.91</c:v>
                </c:pt>
                <c:pt idx="27">
                  <c:v>0.92</c:v>
                </c:pt>
                <c:pt idx="28">
                  <c:v>0.91</c:v>
                </c:pt>
                <c:pt idx="29">
                  <c:v>0.9</c:v>
                </c:pt>
                <c:pt idx="30">
                  <c:v>0.9</c:v>
                </c:pt>
                <c:pt idx="31">
                  <c:v>0.85</c:v>
                </c:pt>
                <c:pt idx="32">
                  <c:v>0.78</c:v>
                </c:pt>
                <c:pt idx="33">
                  <c:v>0.82</c:v>
                </c:pt>
                <c:pt idx="34">
                  <c:v>0.87</c:v>
                </c:pt>
                <c:pt idx="35">
                  <c:v>0.81</c:v>
                </c:pt>
                <c:pt idx="36">
                  <c:v>0.78</c:v>
                </c:pt>
                <c:pt idx="37">
                  <c:v>0.86</c:v>
                </c:pt>
                <c:pt idx="38">
                  <c:v>0.84</c:v>
                </c:pt>
                <c:pt idx="39">
                  <c:v>0.7</c:v>
                </c:pt>
                <c:pt idx="40">
                  <c:v>0.67</c:v>
                </c:pt>
                <c:pt idx="41">
                  <c:v>0.62</c:v>
                </c:pt>
                <c:pt idx="42">
                  <c:v>0.68</c:v>
                </c:pt>
                <c:pt idx="43">
                  <c:v>0.57999999999999996</c:v>
                </c:pt>
                <c:pt idx="44">
                  <c:v>0.45</c:v>
                </c:pt>
                <c:pt idx="45">
                  <c:v>0.41</c:v>
                </c:pt>
                <c:pt idx="46">
                  <c:v>0.46</c:v>
                </c:pt>
                <c:pt idx="47">
                  <c:v>0.56999999999999995</c:v>
                </c:pt>
                <c:pt idx="48">
                  <c:v>0.68</c:v>
                </c:pt>
                <c:pt idx="49">
                  <c:v>0.61</c:v>
                </c:pt>
                <c:pt idx="50">
                  <c:v>0.57999999999999996</c:v>
                </c:pt>
                <c:pt idx="51">
                  <c:v>0.62</c:v>
                </c:pt>
                <c:pt idx="52">
                  <c:v>0.67</c:v>
                </c:pt>
                <c:pt idx="53">
                  <c:v>0.75</c:v>
                </c:pt>
                <c:pt idx="54">
                  <c:v>0.79</c:v>
                </c:pt>
                <c:pt idx="55">
                  <c:v>0.76</c:v>
                </c:pt>
                <c:pt idx="56">
                  <c:v>0.76</c:v>
                </c:pt>
                <c:pt idx="57">
                  <c:v>0.78</c:v>
                </c:pt>
                <c:pt idx="58">
                  <c:v>0.78</c:v>
                </c:pt>
                <c:pt idx="59">
                  <c:v>0.76</c:v>
                </c:pt>
                <c:pt idx="60">
                  <c:v>0.77</c:v>
                </c:pt>
                <c:pt idx="61">
                  <c:v>0.78</c:v>
                </c:pt>
                <c:pt idx="62">
                  <c:v>0.74</c:v>
                </c:pt>
                <c:pt idx="63">
                  <c:v>0.75</c:v>
                </c:pt>
                <c:pt idx="64">
                  <c:v>0.75</c:v>
                </c:pt>
                <c:pt idx="65">
                  <c:v>0.74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86-4E68-9DB4-E9680E8BF6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433192"/>
        <c:axId val="325432208"/>
      </c:lineChart>
      <c:dateAx>
        <c:axId val="3254331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5432208"/>
        <c:crossesAt val="0"/>
        <c:auto val="0"/>
        <c:lblOffset val="100"/>
        <c:baseTimeUnit val="days"/>
      </c:dateAx>
      <c:valAx>
        <c:axId val="325432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5433192"/>
        <c:crosses val="autoZero"/>
        <c:crossBetween val="between"/>
      </c:valAx>
      <c:valAx>
        <c:axId val="325430896"/>
        <c:scaling>
          <c:orientation val="minMax"/>
          <c:max val="35"/>
          <c:min val="-175"/>
        </c:scaling>
        <c:delete val="0"/>
        <c:axPos val="r"/>
        <c:numFmt formatCode="General" sourceLinked="1"/>
        <c:majorTickMark val="none"/>
        <c:minorTickMark val="none"/>
        <c:tickLblPos val="low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5431224"/>
        <c:crosses val="max"/>
        <c:crossBetween val="between"/>
        <c:majorUnit val="35"/>
      </c:valAx>
      <c:catAx>
        <c:axId val="325431224"/>
        <c:scaling>
          <c:orientation val="minMax"/>
        </c:scaling>
        <c:delete val="1"/>
        <c:axPos val="b"/>
        <c:majorTickMark val="out"/>
        <c:minorTickMark val="none"/>
        <c:tickLblPos val="nextTo"/>
        <c:crossAx val="325430896"/>
        <c:crossesAt val="0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State-Level Pension Assets Composiion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'US Census All States Simple'!$E$4</c:f>
              <c:strCache>
                <c:ptCount val="1"/>
                <c:pt idx="0">
                  <c:v>State and Local Government Securities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'US Census All States Simple'!$A$5:$A$34</c:f>
              <c:numCache>
                <c:formatCode>General</c:formatCode>
                <c:ptCount val="30"/>
                <c:pt idx="0">
                  <c:v>1944</c:v>
                </c:pt>
                <c:pt idx="1">
                  <c:v>1947</c:v>
                </c:pt>
                <c:pt idx="2">
                  <c:v>1948</c:v>
                </c:pt>
                <c:pt idx="3">
                  <c:v>1949</c:v>
                </c:pt>
                <c:pt idx="4">
                  <c:v>1950</c:v>
                </c:pt>
                <c:pt idx="5">
                  <c:v>1951</c:v>
                </c:pt>
                <c:pt idx="6">
                  <c:v>1952</c:v>
                </c:pt>
                <c:pt idx="7">
                  <c:v>1953</c:v>
                </c:pt>
                <c:pt idx="8">
                  <c:v>1954</c:v>
                </c:pt>
                <c:pt idx="9">
                  <c:v>1955</c:v>
                </c:pt>
                <c:pt idx="10">
                  <c:v>1956</c:v>
                </c:pt>
                <c:pt idx="11">
                  <c:v>1957</c:v>
                </c:pt>
                <c:pt idx="12">
                  <c:v>1958</c:v>
                </c:pt>
                <c:pt idx="13">
                  <c:v>1959</c:v>
                </c:pt>
                <c:pt idx="14">
                  <c:v>1960</c:v>
                </c:pt>
                <c:pt idx="15">
                  <c:v>1961</c:v>
                </c:pt>
                <c:pt idx="16">
                  <c:v>1962</c:v>
                </c:pt>
                <c:pt idx="17">
                  <c:v>1963</c:v>
                </c:pt>
                <c:pt idx="18">
                  <c:v>1964</c:v>
                </c:pt>
                <c:pt idx="19">
                  <c:v>1965</c:v>
                </c:pt>
                <c:pt idx="20">
                  <c:v>1966</c:v>
                </c:pt>
                <c:pt idx="21">
                  <c:v>1967</c:v>
                </c:pt>
                <c:pt idx="22">
                  <c:v>1968</c:v>
                </c:pt>
                <c:pt idx="23">
                  <c:v>1969</c:v>
                </c:pt>
                <c:pt idx="24">
                  <c:v>1970</c:v>
                </c:pt>
                <c:pt idx="25">
                  <c:v>1971</c:v>
                </c:pt>
                <c:pt idx="26">
                  <c:v>1972</c:v>
                </c:pt>
                <c:pt idx="27">
                  <c:v>1973</c:v>
                </c:pt>
                <c:pt idx="28">
                  <c:v>1974</c:v>
                </c:pt>
                <c:pt idx="29">
                  <c:v>1975</c:v>
                </c:pt>
              </c:numCache>
            </c:numRef>
          </c:cat>
          <c:val>
            <c:numRef>
              <c:f>'US Census All States Simple'!$E$5:$E$34</c:f>
              <c:numCache>
                <c:formatCode>"$"#,##0</c:formatCode>
                <c:ptCount val="30"/>
                <c:pt idx="0">
                  <c:v>613.15099999999995</c:v>
                </c:pt>
                <c:pt idx="1">
                  <c:v>364.46800000000002</c:v>
                </c:pt>
                <c:pt idx="2">
                  <c:v>442.71100000000001</c:v>
                </c:pt>
                <c:pt idx="3">
                  <c:v>471.81799999999998</c:v>
                </c:pt>
                <c:pt idx="4">
                  <c:v>543.77200000000005</c:v>
                </c:pt>
                <c:pt idx="5">
                  <c:v>570</c:v>
                </c:pt>
                <c:pt idx="6">
                  <c:v>578</c:v>
                </c:pt>
                <c:pt idx="7">
                  <c:v>705</c:v>
                </c:pt>
                <c:pt idx="8">
                  <c:v>900</c:v>
                </c:pt>
                <c:pt idx="9">
                  <c:v>1100</c:v>
                </c:pt>
                <c:pt idx="10">
                  <c:v>1300</c:v>
                </c:pt>
                <c:pt idx="11">
                  <c:v>1485.49</c:v>
                </c:pt>
                <c:pt idx="12">
                  <c:v>1685.9459999999999</c:v>
                </c:pt>
                <c:pt idx="13">
                  <c:v>1852.3979999999999</c:v>
                </c:pt>
                <c:pt idx="14">
                  <c:v>1920.1880000000001</c:v>
                </c:pt>
                <c:pt idx="15">
                  <c:v>1908.848</c:v>
                </c:pt>
                <c:pt idx="16">
                  <c:v>1720.184</c:v>
                </c:pt>
                <c:pt idx="17">
                  <c:v>1406.662</c:v>
                </c:pt>
                <c:pt idx="18">
                  <c:v>1153.673</c:v>
                </c:pt>
                <c:pt idx="19">
                  <c:v>941.48</c:v>
                </c:pt>
                <c:pt idx="20">
                  <c:v>758.71900000000005</c:v>
                </c:pt>
                <c:pt idx="21">
                  <c:v>701.99800000000005</c:v>
                </c:pt>
                <c:pt idx="22">
                  <c:v>674.61099999999999</c:v>
                </c:pt>
                <c:pt idx="23">
                  <c:v>565.87</c:v>
                </c:pt>
                <c:pt idx="24">
                  <c:v>561.98</c:v>
                </c:pt>
                <c:pt idx="25">
                  <c:v>575.05899999999997</c:v>
                </c:pt>
                <c:pt idx="26">
                  <c:v>682.82100000000003</c:v>
                </c:pt>
                <c:pt idx="27">
                  <c:v>344.54899999999998</c:v>
                </c:pt>
                <c:pt idx="28">
                  <c:v>330.00900000000001</c:v>
                </c:pt>
                <c:pt idx="29">
                  <c:v>207.14599999999999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EE-431D-90A7-07D3125C9375}"/>
            </c:ext>
          </c:extLst>
        </c:ser>
        <c:ser>
          <c:idx val="1"/>
          <c:order val="1"/>
          <c:tx>
            <c:strRef>
              <c:f>'US Census All States Simple'!$F$4</c:f>
              <c:strCache>
                <c:ptCount val="1"/>
                <c:pt idx="0">
                  <c:v>Federal Securities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'US Census All States Simple'!$A$5:$A$34</c:f>
              <c:numCache>
                <c:formatCode>General</c:formatCode>
                <c:ptCount val="30"/>
                <c:pt idx="0">
                  <c:v>1944</c:v>
                </c:pt>
                <c:pt idx="1">
                  <c:v>1947</c:v>
                </c:pt>
                <c:pt idx="2">
                  <c:v>1948</c:v>
                </c:pt>
                <c:pt idx="3">
                  <c:v>1949</c:v>
                </c:pt>
                <c:pt idx="4">
                  <c:v>1950</c:v>
                </c:pt>
                <c:pt idx="5">
                  <c:v>1951</c:v>
                </c:pt>
                <c:pt idx="6">
                  <c:v>1952</c:v>
                </c:pt>
                <c:pt idx="7">
                  <c:v>1953</c:v>
                </c:pt>
                <c:pt idx="8">
                  <c:v>1954</c:v>
                </c:pt>
                <c:pt idx="9">
                  <c:v>1955</c:v>
                </c:pt>
                <c:pt idx="10">
                  <c:v>1956</c:v>
                </c:pt>
                <c:pt idx="11">
                  <c:v>1957</c:v>
                </c:pt>
                <c:pt idx="12">
                  <c:v>1958</c:v>
                </c:pt>
                <c:pt idx="13">
                  <c:v>1959</c:v>
                </c:pt>
                <c:pt idx="14">
                  <c:v>1960</c:v>
                </c:pt>
                <c:pt idx="15">
                  <c:v>1961</c:v>
                </c:pt>
                <c:pt idx="16">
                  <c:v>1962</c:v>
                </c:pt>
                <c:pt idx="17">
                  <c:v>1963</c:v>
                </c:pt>
                <c:pt idx="18">
                  <c:v>1964</c:v>
                </c:pt>
                <c:pt idx="19">
                  <c:v>1965</c:v>
                </c:pt>
                <c:pt idx="20">
                  <c:v>1966</c:v>
                </c:pt>
                <c:pt idx="21">
                  <c:v>1967</c:v>
                </c:pt>
                <c:pt idx="22">
                  <c:v>1968</c:v>
                </c:pt>
                <c:pt idx="23">
                  <c:v>1969</c:v>
                </c:pt>
                <c:pt idx="24">
                  <c:v>1970</c:v>
                </c:pt>
                <c:pt idx="25">
                  <c:v>1971</c:v>
                </c:pt>
                <c:pt idx="26">
                  <c:v>1972</c:v>
                </c:pt>
                <c:pt idx="27">
                  <c:v>1973</c:v>
                </c:pt>
                <c:pt idx="28">
                  <c:v>1974</c:v>
                </c:pt>
                <c:pt idx="29">
                  <c:v>1975</c:v>
                </c:pt>
              </c:numCache>
            </c:numRef>
          </c:cat>
          <c:val>
            <c:numRef>
              <c:f>'US Census All States Simple'!$F$5:$F$34</c:f>
              <c:numCache>
                <c:formatCode>"$"#,##0</c:formatCode>
                <c:ptCount val="30"/>
                <c:pt idx="0">
                  <c:v>487.47300000000001</c:v>
                </c:pt>
                <c:pt idx="1">
                  <c:v>1262.67</c:v>
                </c:pt>
                <c:pt idx="2">
                  <c:v>1457.8989999999999</c:v>
                </c:pt>
                <c:pt idx="3">
                  <c:v>1679.25</c:v>
                </c:pt>
                <c:pt idx="4">
                  <c:v>1895.752</c:v>
                </c:pt>
                <c:pt idx="5">
                  <c:v>2244</c:v>
                </c:pt>
                <c:pt idx="6">
                  <c:v>2539</c:v>
                </c:pt>
                <c:pt idx="7">
                  <c:v>2777</c:v>
                </c:pt>
                <c:pt idx="8">
                  <c:v>2900</c:v>
                </c:pt>
                <c:pt idx="9">
                  <c:v>3100</c:v>
                </c:pt>
                <c:pt idx="10">
                  <c:v>3400</c:v>
                </c:pt>
                <c:pt idx="11">
                  <c:v>3572.8719999999998</c:v>
                </c:pt>
                <c:pt idx="12">
                  <c:v>3572.038</c:v>
                </c:pt>
                <c:pt idx="13">
                  <c:v>3845.8049999999998</c:v>
                </c:pt>
                <c:pt idx="14">
                  <c:v>4162.1049999999996</c:v>
                </c:pt>
                <c:pt idx="15">
                  <c:v>4141.5720000000001</c:v>
                </c:pt>
                <c:pt idx="16">
                  <c:v>4149.26</c:v>
                </c:pt>
                <c:pt idx="17">
                  <c:v>4470.5010000000002</c:v>
                </c:pt>
                <c:pt idx="18">
                  <c:v>4775.6319999999996</c:v>
                </c:pt>
                <c:pt idx="19">
                  <c:v>5186.201</c:v>
                </c:pt>
                <c:pt idx="20">
                  <c:v>4952.3040000000001</c:v>
                </c:pt>
                <c:pt idx="21">
                  <c:v>4589.5280000000002</c:v>
                </c:pt>
                <c:pt idx="22">
                  <c:v>4120.3360000000002</c:v>
                </c:pt>
                <c:pt idx="23">
                  <c:v>3814.2060000000001</c:v>
                </c:pt>
                <c:pt idx="24">
                  <c:v>3241.6469999999999</c:v>
                </c:pt>
                <c:pt idx="25">
                  <c:v>2912.6390000000001</c:v>
                </c:pt>
                <c:pt idx="26">
                  <c:v>2243.277</c:v>
                </c:pt>
                <c:pt idx="27">
                  <c:v>2164.748</c:v>
                </c:pt>
                <c:pt idx="28">
                  <c:v>3697.2840000000001</c:v>
                </c:pt>
                <c:pt idx="29">
                  <c:v>4882.9979999999996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EE-431D-90A7-07D3125C9375}"/>
            </c:ext>
          </c:extLst>
        </c:ser>
        <c:ser>
          <c:idx val="2"/>
          <c:order val="2"/>
          <c:tx>
            <c:strRef>
              <c:f>'US Census All States Simple'!$G$4</c:f>
              <c:strCache>
                <c:ptCount val="1"/>
                <c:pt idx="0">
                  <c:v>Other Securities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'US Census All States Simple'!$A$5:$A$34</c:f>
              <c:numCache>
                <c:formatCode>General</c:formatCode>
                <c:ptCount val="30"/>
                <c:pt idx="0">
                  <c:v>1944</c:v>
                </c:pt>
                <c:pt idx="1">
                  <c:v>1947</c:v>
                </c:pt>
                <c:pt idx="2">
                  <c:v>1948</c:v>
                </c:pt>
                <c:pt idx="3">
                  <c:v>1949</c:v>
                </c:pt>
                <c:pt idx="4">
                  <c:v>1950</c:v>
                </c:pt>
                <c:pt idx="5">
                  <c:v>1951</c:v>
                </c:pt>
                <c:pt idx="6">
                  <c:v>1952</c:v>
                </c:pt>
                <c:pt idx="7">
                  <c:v>1953</c:v>
                </c:pt>
                <c:pt idx="8">
                  <c:v>1954</c:v>
                </c:pt>
                <c:pt idx="9">
                  <c:v>1955</c:v>
                </c:pt>
                <c:pt idx="10">
                  <c:v>1956</c:v>
                </c:pt>
                <c:pt idx="11">
                  <c:v>1957</c:v>
                </c:pt>
                <c:pt idx="12">
                  <c:v>1958</c:v>
                </c:pt>
                <c:pt idx="13">
                  <c:v>1959</c:v>
                </c:pt>
                <c:pt idx="14">
                  <c:v>1960</c:v>
                </c:pt>
                <c:pt idx="15">
                  <c:v>1961</c:v>
                </c:pt>
                <c:pt idx="16">
                  <c:v>1962</c:v>
                </c:pt>
                <c:pt idx="17">
                  <c:v>1963</c:v>
                </c:pt>
                <c:pt idx="18">
                  <c:v>1964</c:v>
                </c:pt>
                <c:pt idx="19">
                  <c:v>1965</c:v>
                </c:pt>
                <c:pt idx="20">
                  <c:v>1966</c:v>
                </c:pt>
                <c:pt idx="21">
                  <c:v>1967</c:v>
                </c:pt>
                <c:pt idx="22">
                  <c:v>1968</c:v>
                </c:pt>
                <c:pt idx="23">
                  <c:v>1969</c:v>
                </c:pt>
                <c:pt idx="24">
                  <c:v>1970</c:v>
                </c:pt>
                <c:pt idx="25">
                  <c:v>1971</c:v>
                </c:pt>
                <c:pt idx="26">
                  <c:v>1972</c:v>
                </c:pt>
                <c:pt idx="27">
                  <c:v>1973</c:v>
                </c:pt>
                <c:pt idx="28">
                  <c:v>1974</c:v>
                </c:pt>
                <c:pt idx="29">
                  <c:v>1975</c:v>
                </c:pt>
              </c:numCache>
            </c:numRef>
          </c:cat>
          <c:val>
            <c:numRef>
              <c:f>'US Census All States Simple'!$G$5:$G$34</c:f>
              <c:numCache>
                <c:formatCode>"$"#,##0</c:formatCode>
                <c:ptCount val="30"/>
                <c:pt idx="0">
                  <c:v>124.01600000000001</c:v>
                </c:pt>
                <c:pt idx="1">
                  <c:v>121.682</c:v>
                </c:pt>
                <c:pt idx="2">
                  <c:v>141.44399999999999</c:v>
                </c:pt>
                <c:pt idx="3">
                  <c:v>232.67099999999999</c:v>
                </c:pt>
                <c:pt idx="4">
                  <c:v>368.45800000000003</c:v>
                </c:pt>
                <c:pt idx="5">
                  <c:v>564</c:v>
                </c:pt>
                <c:pt idx="6">
                  <c:v>835</c:v>
                </c:pt>
                <c:pt idx="7">
                  <c:v>1093</c:v>
                </c:pt>
                <c:pt idx="8">
                  <c:v>1400</c:v>
                </c:pt>
                <c:pt idx="9">
                  <c:v>1900</c:v>
                </c:pt>
                <c:pt idx="10">
                  <c:v>2300</c:v>
                </c:pt>
                <c:pt idx="11">
                  <c:v>2881.547</c:v>
                </c:pt>
                <c:pt idx="12">
                  <c:v>3864.7890000000002</c:v>
                </c:pt>
                <c:pt idx="13">
                  <c:v>4678.99</c:v>
                </c:pt>
                <c:pt idx="14">
                  <c:v>5931.3289999999997</c:v>
                </c:pt>
                <c:pt idx="15">
                  <c:v>7602.5770000000002</c:v>
                </c:pt>
                <c:pt idx="16">
                  <c:v>9524.7929999999997</c:v>
                </c:pt>
                <c:pt idx="17">
                  <c:v>11428.855</c:v>
                </c:pt>
                <c:pt idx="18">
                  <c:v>13651.173000000001</c:v>
                </c:pt>
                <c:pt idx="19">
                  <c:v>15812.709000000001</c:v>
                </c:pt>
                <c:pt idx="20">
                  <c:v>18811.764999999999</c:v>
                </c:pt>
                <c:pt idx="21">
                  <c:v>22133.705999999998</c:v>
                </c:pt>
                <c:pt idx="22">
                  <c:v>26046.392</c:v>
                </c:pt>
                <c:pt idx="23">
                  <c:v>30611.204000000002</c:v>
                </c:pt>
                <c:pt idx="24">
                  <c:v>35912.406999999999</c:v>
                </c:pt>
                <c:pt idx="25">
                  <c:v>41468.324000000001</c:v>
                </c:pt>
                <c:pt idx="26">
                  <c:v>47418.487000000001</c:v>
                </c:pt>
                <c:pt idx="27">
                  <c:v>55457.966</c:v>
                </c:pt>
                <c:pt idx="28">
                  <c:v>61413.677000000003</c:v>
                </c:pt>
                <c:pt idx="29">
                  <c:v>68813.09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EE-431D-90A7-07D3125C93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53788319"/>
        <c:axId val="1853795391"/>
      </c:barChart>
      <c:catAx>
        <c:axId val="18537883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3795391"/>
        <c:crosses val="autoZero"/>
        <c:auto val="1"/>
        <c:lblAlgn val="ctr"/>
        <c:lblOffset val="100"/>
        <c:noMultiLvlLbl val="0"/>
      </c:catAx>
      <c:valAx>
        <c:axId val="18537953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37883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North Carolina State Employees and Teachers Pension Assets</a:t>
            </a:r>
            <a:endParaRPr lang="en-US" sz="18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'NC State Simple'!$F$4</c:f>
              <c:strCache>
                <c:ptCount val="1"/>
                <c:pt idx="0">
                  <c:v>Federal Securities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'NC State Simple'!$A$5:$A$36</c:f>
              <c:numCache>
                <c:formatCode>General</c:formatCode>
                <c:ptCount val="32"/>
                <c:pt idx="0">
                  <c:v>1943</c:v>
                </c:pt>
                <c:pt idx="1">
                  <c:v>1944</c:v>
                </c:pt>
                <c:pt idx="2">
                  <c:v>1945</c:v>
                </c:pt>
                <c:pt idx="3">
                  <c:v>1946</c:v>
                </c:pt>
                <c:pt idx="4">
                  <c:v>1947</c:v>
                </c:pt>
                <c:pt idx="5">
                  <c:v>1948</c:v>
                </c:pt>
                <c:pt idx="6">
                  <c:v>1949</c:v>
                </c:pt>
                <c:pt idx="7">
                  <c:v>1950</c:v>
                </c:pt>
                <c:pt idx="8">
                  <c:v>1951</c:v>
                </c:pt>
                <c:pt idx="9">
                  <c:v>1952</c:v>
                </c:pt>
                <c:pt idx="10">
                  <c:v>1953</c:v>
                </c:pt>
                <c:pt idx="11">
                  <c:v>1954</c:v>
                </c:pt>
                <c:pt idx="12">
                  <c:v>1955</c:v>
                </c:pt>
                <c:pt idx="13">
                  <c:v>1956</c:v>
                </c:pt>
                <c:pt idx="14">
                  <c:v>1957</c:v>
                </c:pt>
                <c:pt idx="15">
                  <c:v>1958</c:v>
                </c:pt>
                <c:pt idx="16">
                  <c:v>1959</c:v>
                </c:pt>
                <c:pt idx="17">
                  <c:v>1960</c:v>
                </c:pt>
                <c:pt idx="18">
                  <c:v>1961</c:v>
                </c:pt>
                <c:pt idx="19">
                  <c:v>1962</c:v>
                </c:pt>
                <c:pt idx="20">
                  <c:v>1963</c:v>
                </c:pt>
                <c:pt idx="21">
                  <c:v>1964</c:v>
                </c:pt>
                <c:pt idx="22">
                  <c:v>1965</c:v>
                </c:pt>
                <c:pt idx="23">
                  <c:v>1966</c:v>
                </c:pt>
                <c:pt idx="24">
                  <c:v>1967</c:v>
                </c:pt>
                <c:pt idx="25">
                  <c:v>1968</c:v>
                </c:pt>
                <c:pt idx="26">
                  <c:v>1969</c:v>
                </c:pt>
                <c:pt idx="27">
                  <c:v>1970</c:v>
                </c:pt>
                <c:pt idx="28">
                  <c:v>1971</c:v>
                </c:pt>
                <c:pt idx="29">
                  <c:v>1972</c:v>
                </c:pt>
                <c:pt idx="30">
                  <c:v>1973</c:v>
                </c:pt>
                <c:pt idx="31">
                  <c:v>1974</c:v>
                </c:pt>
              </c:numCache>
            </c:numRef>
          </c:cat>
          <c:val>
            <c:numRef>
              <c:f>'NC State Simple'!$E$5:$E$36</c:f>
              <c:numCache>
                <c:formatCode>"$"#,##0</c:formatCode>
                <c:ptCount val="32"/>
                <c:pt idx="0">
                  <c:v>6.3519133099999996</c:v>
                </c:pt>
                <c:pt idx="1">
                  <c:v>6.4713652000000002</c:v>
                </c:pt>
                <c:pt idx="2">
                  <c:v>6.8599733499999997</c:v>
                </c:pt>
                <c:pt idx="3">
                  <c:v>2.9338117599999998</c:v>
                </c:pt>
                <c:pt idx="4">
                  <c:v>4.2589478700000001</c:v>
                </c:pt>
                <c:pt idx="5">
                  <c:v>7.8583935800000004</c:v>
                </c:pt>
                <c:pt idx="6">
                  <c:v>19.00717805</c:v>
                </c:pt>
                <c:pt idx="7">
                  <c:v>21.472047410000002</c:v>
                </c:pt>
                <c:pt idx="8">
                  <c:v>19.44667488</c:v>
                </c:pt>
                <c:pt idx="9">
                  <c:v>19.826805440000001</c:v>
                </c:pt>
                <c:pt idx="10">
                  <c:v>22.365257270000004</c:v>
                </c:pt>
                <c:pt idx="11">
                  <c:v>24.128652439999996</c:v>
                </c:pt>
                <c:pt idx="12">
                  <c:v>25.566595020000005</c:v>
                </c:pt>
                <c:pt idx="13">
                  <c:v>28.120332549999997</c:v>
                </c:pt>
                <c:pt idx="14">
                  <c:v>37.541905189999994</c:v>
                </c:pt>
                <c:pt idx="15">
                  <c:v>39.306035000000001</c:v>
                </c:pt>
                <c:pt idx="16">
                  <c:v>33.662285329999996</c:v>
                </c:pt>
                <c:pt idx="17">
                  <c:v>32.625380450000002</c:v>
                </c:pt>
                <c:pt idx="18">
                  <c:v>29.99218316</c:v>
                </c:pt>
                <c:pt idx="19">
                  <c:v>21.569633100000001</c:v>
                </c:pt>
                <c:pt idx="20">
                  <c:v>12.65881207</c:v>
                </c:pt>
                <c:pt idx="21">
                  <c:v>12.26541941</c:v>
                </c:pt>
                <c:pt idx="22">
                  <c:v>8.7237047699999994</c:v>
                </c:pt>
                <c:pt idx="23">
                  <c:v>8.7273755300000015</c:v>
                </c:pt>
                <c:pt idx="24">
                  <c:v>8.7034606199999995</c:v>
                </c:pt>
                <c:pt idx="25">
                  <c:v>8.9111290800000003</c:v>
                </c:pt>
                <c:pt idx="26">
                  <c:v>8.9742656899999993</c:v>
                </c:pt>
                <c:pt idx="27">
                  <c:v>8.9272680199999996</c:v>
                </c:pt>
                <c:pt idx="28">
                  <c:v>8.5397917199999984</c:v>
                </c:pt>
                <c:pt idx="29">
                  <c:v>8.4499638000000008</c:v>
                </c:pt>
                <c:pt idx="30">
                  <c:v>8.3050842900000017</c:v>
                </c:pt>
                <c:pt idx="31">
                  <c:v>7.5305242099999994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4B-4211-AB6C-2E43D1E7E12D}"/>
            </c:ext>
          </c:extLst>
        </c:ser>
        <c:ser>
          <c:idx val="1"/>
          <c:order val="1"/>
          <c:tx>
            <c:strRef>
              <c:f>'NC State Simple'!#REF!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'NC State Simple'!$A$5:$A$36</c:f>
              <c:numCache>
                <c:formatCode>General</c:formatCode>
                <c:ptCount val="32"/>
                <c:pt idx="0">
                  <c:v>1943</c:v>
                </c:pt>
                <c:pt idx="1">
                  <c:v>1944</c:v>
                </c:pt>
                <c:pt idx="2">
                  <c:v>1945</c:v>
                </c:pt>
                <c:pt idx="3">
                  <c:v>1946</c:v>
                </c:pt>
                <c:pt idx="4">
                  <c:v>1947</c:v>
                </c:pt>
                <c:pt idx="5">
                  <c:v>1948</c:v>
                </c:pt>
                <c:pt idx="6">
                  <c:v>1949</c:v>
                </c:pt>
                <c:pt idx="7">
                  <c:v>1950</c:v>
                </c:pt>
                <c:pt idx="8">
                  <c:v>1951</c:v>
                </c:pt>
                <c:pt idx="9">
                  <c:v>1952</c:v>
                </c:pt>
                <c:pt idx="10">
                  <c:v>1953</c:v>
                </c:pt>
                <c:pt idx="11">
                  <c:v>1954</c:v>
                </c:pt>
                <c:pt idx="12">
                  <c:v>1955</c:v>
                </c:pt>
                <c:pt idx="13">
                  <c:v>1956</c:v>
                </c:pt>
                <c:pt idx="14">
                  <c:v>1957</c:v>
                </c:pt>
                <c:pt idx="15">
                  <c:v>1958</c:v>
                </c:pt>
                <c:pt idx="16">
                  <c:v>1959</c:v>
                </c:pt>
                <c:pt idx="17">
                  <c:v>1960</c:v>
                </c:pt>
                <c:pt idx="18">
                  <c:v>1961</c:v>
                </c:pt>
                <c:pt idx="19">
                  <c:v>1962</c:v>
                </c:pt>
                <c:pt idx="20">
                  <c:v>1963</c:v>
                </c:pt>
                <c:pt idx="21">
                  <c:v>1964</c:v>
                </c:pt>
                <c:pt idx="22">
                  <c:v>1965</c:v>
                </c:pt>
                <c:pt idx="23">
                  <c:v>1966</c:v>
                </c:pt>
                <c:pt idx="24">
                  <c:v>1967</c:v>
                </c:pt>
                <c:pt idx="25">
                  <c:v>1968</c:v>
                </c:pt>
                <c:pt idx="26">
                  <c:v>1969</c:v>
                </c:pt>
                <c:pt idx="27">
                  <c:v>1970</c:v>
                </c:pt>
                <c:pt idx="28">
                  <c:v>1971</c:v>
                </c:pt>
                <c:pt idx="29">
                  <c:v>1972</c:v>
                </c:pt>
                <c:pt idx="30">
                  <c:v>1973</c:v>
                </c:pt>
                <c:pt idx="31">
                  <c:v>1974</c:v>
                </c:pt>
              </c:numCache>
            </c:numRef>
          </c:cat>
          <c:val>
            <c:numRef>
              <c:f>'NC State Simple'!$F$5:$F$36</c:f>
              <c:numCache>
                <c:formatCode>"$"#,##0</c:formatCode>
                <c:ptCount val="32"/>
                <c:pt idx="0">
                  <c:v>0.15</c:v>
                </c:pt>
                <c:pt idx="1">
                  <c:v>4.6800332000000004</c:v>
                </c:pt>
                <c:pt idx="2">
                  <c:v>8.6314985399999991</c:v>
                </c:pt>
                <c:pt idx="3">
                  <c:v>17.229439890000002</c:v>
                </c:pt>
                <c:pt idx="4">
                  <c:v>22.654163119999996</c:v>
                </c:pt>
                <c:pt idx="5">
                  <c:v>27.914532739999999</c:v>
                </c:pt>
                <c:pt idx="6">
                  <c:v>30.743628659999999</c:v>
                </c:pt>
                <c:pt idx="7">
                  <c:v>43.977775840000007</c:v>
                </c:pt>
                <c:pt idx="8">
                  <c:v>60.968775219999998</c:v>
                </c:pt>
                <c:pt idx="9">
                  <c:v>80.841992230000002</c:v>
                </c:pt>
                <c:pt idx="10">
                  <c:v>96.463294730000001</c:v>
                </c:pt>
                <c:pt idx="11">
                  <c:v>117.06244768000001</c:v>
                </c:pt>
                <c:pt idx="12">
                  <c:v>144.27937259000001</c:v>
                </c:pt>
                <c:pt idx="13">
                  <c:v>164.3549964</c:v>
                </c:pt>
                <c:pt idx="14">
                  <c:v>160.4817515</c:v>
                </c:pt>
                <c:pt idx="15">
                  <c:v>139.06542016</c:v>
                </c:pt>
                <c:pt idx="16">
                  <c:v>142.85986531</c:v>
                </c:pt>
                <c:pt idx="17">
                  <c:v>144.37566477999999</c:v>
                </c:pt>
                <c:pt idx="18">
                  <c:v>134.26005744</c:v>
                </c:pt>
                <c:pt idx="19">
                  <c:v>138.24596780000002</c:v>
                </c:pt>
                <c:pt idx="20">
                  <c:v>159.51128194999998</c:v>
                </c:pt>
                <c:pt idx="21">
                  <c:v>170.07052238999998</c:v>
                </c:pt>
                <c:pt idx="22">
                  <c:v>197.08989284</c:v>
                </c:pt>
                <c:pt idx="23">
                  <c:v>194.26206652000002</c:v>
                </c:pt>
                <c:pt idx="24">
                  <c:v>166.82537966999999</c:v>
                </c:pt>
                <c:pt idx="25">
                  <c:v>152.27623828999998</c:v>
                </c:pt>
                <c:pt idx="26">
                  <c:v>116.59693718999999</c:v>
                </c:pt>
                <c:pt idx="27">
                  <c:v>50.370832719999996</c:v>
                </c:pt>
                <c:pt idx="28">
                  <c:v>0.12205692999999999</c:v>
                </c:pt>
                <c:pt idx="29">
                  <c:v>3.9814410000000001E-2</c:v>
                </c:pt>
                <c:pt idx="30">
                  <c:v>4.9756807300000006</c:v>
                </c:pt>
                <c:pt idx="31">
                  <c:v>0.52466935999999997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4B-4211-AB6C-2E43D1E7E12D}"/>
            </c:ext>
          </c:extLst>
        </c:ser>
        <c:ser>
          <c:idx val="2"/>
          <c:order val="2"/>
          <c:tx>
            <c:strRef>
              <c:f>'NC State Simple'!$E$4</c:f>
              <c:strCache>
                <c:ptCount val="1"/>
                <c:pt idx="0">
                  <c:v>State and Local Government Securities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'NC State Simple'!$A$5:$A$36</c:f>
              <c:numCache>
                <c:formatCode>General</c:formatCode>
                <c:ptCount val="32"/>
                <c:pt idx="0">
                  <c:v>1943</c:v>
                </c:pt>
                <c:pt idx="1">
                  <c:v>1944</c:v>
                </c:pt>
                <c:pt idx="2">
                  <c:v>1945</c:v>
                </c:pt>
                <c:pt idx="3">
                  <c:v>1946</c:v>
                </c:pt>
                <c:pt idx="4">
                  <c:v>1947</c:v>
                </c:pt>
                <c:pt idx="5">
                  <c:v>1948</c:v>
                </c:pt>
                <c:pt idx="6">
                  <c:v>1949</c:v>
                </c:pt>
                <c:pt idx="7">
                  <c:v>1950</c:v>
                </c:pt>
                <c:pt idx="8">
                  <c:v>1951</c:v>
                </c:pt>
                <c:pt idx="9">
                  <c:v>1952</c:v>
                </c:pt>
                <c:pt idx="10">
                  <c:v>1953</c:v>
                </c:pt>
                <c:pt idx="11">
                  <c:v>1954</c:v>
                </c:pt>
                <c:pt idx="12">
                  <c:v>1955</c:v>
                </c:pt>
                <c:pt idx="13">
                  <c:v>1956</c:v>
                </c:pt>
                <c:pt idx="14">
                  <c:v>1957</c:v>
                </c:pt>
                <c:pt idx="15">
                  <c:v>1958</c:v>
                </c:pt>
                <c:pt idx="16">
                  <c:v>1959</c:v>
                </c:pt>
                <c:pt idx="17">
                  <c:v>1960</c:v>
                </c:pt>
                <c:pt idx="18">
                  <c:v>1961</c:v>
                </c:pt>
                <c:pt idx="19">
                  <c:v>1962</c:v>
                </c:pt>
                <c:pt idx="20">
                  <c:v>1963</c:v>
                </c:pt>
                <c:pt idx="21">
                  <c:v>1964</c:v>
                </c:pt>
                <c:pt idx="22">
                  <c:v>1965</c:v>
                </c:pt>
                <c:pt idx="23">
                  <c:v>1966</c:v>
                </c:pt>
                <c:pt idx="24">
                  <c:v>1967</c:v>
                </c:pt>
                <c:pt idx="25">
                  <c:v>1968</c:v>
                </c:pt>
                <c:pt idx="26">
                  <c:v>1969</c:v>
                </c:pt>
                <c:pt idx="27">
                  <c:v>1970</c:v>
                </c:pt>
                <c:pt idx="28">
                  <c:v>1971</c:v>
                </c:pt>
                <c:pt idx="29">
                  <c:v>1972</c:v>
                </c:pt>
                <c:pt idx="30">
                  <c:v>1973</c:v>
                </c:pt>
                <c:pt idx="31">
                  <c:v>1974</c:v>
                </c:pt>
              </c:numCache>
            </c:numRef>
          </c:cat>
          <c:val>
            <c:numRef>
              <c:f>'NC State Simple'!$G$5:$G$36</c:f>
              <c:numCache>
                <c:formatCode>"$"#,##0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2.4217092899999999</c:v>
                </c:pt>
                <c:pt idx="11">
                  <c:v>2.4808952799999999</c:v>
                </c:pt>
                <c:pt idx="12">
                  <c:v>0</c:v>
                </c:pt>
                <c:pt idx="13">
                  <c:v>0</c:v>
                </c:pt>
                <c:pt idx="14">
                  <c:v>1.8597865900000001</c:v>
                </c:pt>
                <c:pt idx="15">
                  <c:v>41.501028570000003</c:v>
                </c:pt>
                <c:pt idx="16">
                  <c:v>64.130564219999997</c:v>
                </c:pt>
                <c:pt idx="17">
                  <c:v>86.165998760000008</c:v>
                </c:pt>
                <c:pt idx="18">
                  <c:v>123.02364798000001</c:v>
                </c:pt>
                <c:pt idx="19">
                  <c:v>162.32702534999999</c:v>
                </c:pt>
                <c:pt idx="20">
                  <c:v>187.31399833999998</c:v>
                </c:pt>
                <c:pt idx="21">
                  <c:v>222.13671972</c:v>
                </c:pt>
                <c:pt idx="22">
                  <c:v>245.81774253999998</c:v>
                </c:pt>
                <c:pt idx="23">
                  <c:v>313.11634056000003</c:v>
                </c:pt>
                <c:pt idx="24">
                  <c:v>411.01542407000005</c:v>
                </c:pt>
                <c:pt idx="25">
                  <c:v>518.48102831000006</c:v>
                </c:pt>
                <c:pt idx="26">
                  <c:v>656.44081160999997</c:v>
                </c:pt>
                <c:pt idx="27">
                  <c:v>839.08102167999994</c:v>
                </c:pt>
                <c:pt idx="28">
                  <c:v>1037.7506627400001</c:v>
                </c:pt>
                <c:pt idx="29">
                  <c:v>1202.3301996499999</c:v>
                </c:pt>
                <c:pt idx="30">
                  <c:v>1385.3388055999999</c:v>
                </c:pt>
                <c:pt idx="31">
                  <c:v>1583.1024940900002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44B-4211-AB6C-2E43D1E7E12D}"/>
            </c:ext>
          </c:extLst>
        </c:ser>
        <c:ser>
          <c:idx val="3"/>
          <c:order val="3"/>
          <c:tx>
            <c:strRef>
              <c:f>'NC State Simple'!$H$4</c:f>
              <c:strCache>
                <c:ptCount val="1"/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'NC State Simple'!$A$5:$A$36</c:f>
              <c:numCache>
                <c:formatCode>General</c:formatCode>
                <c:ptCount val="32"/>
                <c:pt idx="0">
                  <c:v>1943</c:v>
                </c:pt>
                <c:pt idx="1">
                  <c:v>1944</c:v>
                </c:pt>
                <c:pt idx="2">
                  <c:v>1945</c:v>
                </c:pt>
                <c:pt idx="3">
                  <c:v>1946</c:v>
                </c:pt>
                <c:pt idx="4">
                  <c:v>1947</c:v>
                </c:pt>
                <c:pt idx="5">
                  <c:v>1948</c:v>
                </c:pt>
                <c:pt idx="6">
                  <c:v>1949</c:v>
                </c:pt>
                <c:pt idx="7">
                  <c:v>1950</c:v>
                </c:pt>
                <c:pt idx="8">
                  <c:v>1951</c:v>
                </c:pt>
                <c:pt idx="9">
                  <c:v>1952</c:v>
                </c:pt>
                <c:pt idx="10">
                  <c:v>1953</c:v>
                </c:pt>
                <c:pt idx="11">
                  <c:v>1954</c:v>
                </c:pt>
                <c:pt idx="12">
                  <c:v>1955</c:v>
                </c:pt>
                <c:pt idx="13">
                  <c:v>1956</c:v>
                </c:pt>
                <c:pt idx="14">
                  <c:v>1957</c:v>
                </c:pt>
                <c:pt idx="15">
                  <c:v>1958</c:v>
                </c:pt>
                <c:pt idx="16">
                  <c:v>1959</c:v>
                </c:pt>
                <c:pt idx="17">
                  <c:v>1960</c:v>
                </c:pt>
                <c:pt idx="18">
                  <c:v>1961</c:v>
                </c:pt>
                <c:pt idx="19">
                  <c:v>1962</c:v>
                </c:pt>
                <c:pt idx="20">
                  <c:v>1963</c:v>
                </c:pt>
                <c:pt idx="21">
                  <c:v>1964</c:v>
                </c:pt>
                <c:pt idx="22">
                  <c:v>1965</c:v>
                </c:pt>
                <c:pt idx="23">
                  <c:v>1966</c:v>
                </c:pt>
                <c:pt idx="24">
                  <c:v>1967</c:v>
                </c:pt>
                <c:pt idx="25">
                  <c:v>1968</c:v>
                </c:pt>
                <c:pt idx="26">
                  <c:v>1969</c:v>
                </c:pt>
                <c:pt idx="27">
                  <c:v>1970</c:v>
                </c:pt>
                <c:pt idx="28">
                  <c:v>1971</c:v>
                </c:pt>
                <c:pt idx="29">
                  <c:v>1972</c:v>
                </c:pt>
                <c:pt idx="30">
                  <c:v>1973</c:v>
                </c:pt>
                <c:pt idx="31">
                  <c:v>1974</c:v>
                </c:pt>
              </c:numCache>
            </c:numRef>
          </c:cat>
          <c:val>
            <c:numRef>
              <c:f>'NC State Simple'!$H$5:$H$36</c:f>
              <c:numCache>
                <c:formatCode>"$"#,##0</c:formatCode>
                <c:ptCount val="32"/>
              </c:numCache>
            </c:numRef>
          </c:val>
          <c:extLst>
            <c:ext xmlns:c16="http://schemas.microsoft.com/office/drawing/2014/chart" uri="{C3380CC4-5D6E-409C-BE32-E72D297353CC}">
              <c16:uniqueId val="{00000003-344B-4211-AB6C-2E43D1E7E1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635093535"/>
        <c:axId val="1635092287"/>
      </c:barChart>
      <c:catAx>
        <c:axId val="16350935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5092287"/>
        <c:crosses val="autoZero"/>
        <c:auto val="1"/>
        <c:lblAlgn val="ctr"/>
        <c:lblOffset val="100"/>
        <c:noMultiLvlLbl val="0"/>
      </c:catAx>
      <c:valAx>
        <c:axId val="16350922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50935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NCTSERS </a:t>
            </a:r>
            <a:r>
              <a:rPr lang="en-US" baseline="0"/>
              <a:t>Assets ($ millions)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'NC State Simple'!$E$4</c:f>
              <c:strCache>
                <c:ptCount val="1"/>
                <c:pt idx="0">
                  <c:v>State and Local Government Securities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'NC State Simple'!$A$5:$A$36</c:f>
              <c:numCache>
                <c:formatCode>General</c:formatCode>
                <c:ptCount val="32"/>
                <c:pt idx="0">
                  <c:v>1943</c:v>
                </c:pt>
                <c:pt idx="1">
                  <c:v>1944</c:v>
                </c:pt>
                <c:pt idx="2">
                  <c:v>1945</c:v>
                </c:pt>
                <c:pt idx="3">
                  <c:v>1946</c:v>
                </c:pt>
                <c:pt idx="4">
                  <c:v>1947</c:v>
                </c:pt>
                <c:pt idx="5">
                  <c:v>1948</c:v>
                </c:pt>
                <c:pt idx="6">
                  <c:v>1949</c:v>
                </c:pt>
                <c:pt idx="7">
                  <c:v>1950</c:v>
                </c:pt>
                <c:pt idx="8">
                  <c:v>1951</c:v>
                </c:pt>
                <c:pt idx="9">
                  <c:v>1952</c:v>
                </c:pt>
                <c:pt idx="10">
                  <c:v>1953</c:v>
                </c:pt>
                <c:pt idx="11">
                  <c:v>1954</c:v>
                </c:pt>
                <c:pt idx="12">
                  <c:v>1955</c:v>
                </c:pt>
                <c:pt idx="13">
                  <c:v>1956</c:v>
                </c:pt>
                <c:pt idx="14">
                  <c:v>1957</c:v>
                </c:pt>
                <c:pt idx="15">
                  <c:v>1958</c:v>
                </c:pt>
                <c:pt idx="16">
                  <c:v>1959</c:v>
                </c:pt>
                <c:pt idx="17">
                  <c:v>1960</c:v>
                </c:pt>
                <c:pt idx="18">
                  <c:v>1961</c:v>
                </c:pt>
                <c:pt idx="19">
                  <c:v>1962</c:v>
                </c:pt>
                <c:pt idx="20">
                  <c:v>1963</c:v>
                </c:pt>
                <c:pt idx="21">
                  <c:v>1964</c:v>
                </c:pt>
                <c:pt idx="22">
                  <c:v>1965</c:v>
                </c:pt>
                <c:pt idx="23">
                  <c:v>1966</c:v>
                </c:pt>
                <c:pt idx="24">
                  <c:v>1967</c:v>
                </c:pt>
                <c:pt idx="25">
                  <c:v>1968</c:v>
                </c:pt>
                <c:pt idx="26">
                  <c:v>1969</c:v>
                </c:pt>
                <c:pt idx="27">
                  <c:v>1970</c:v>
                </c:pt>
                <c:pt idx="28">
                  <c:v>1971</c:v>
                </c:pt>
                <c:pt idx="29">
                  <c:v>1972</c:v>
                </c:pt>
                <c:pt idx="30">
                  <c:v>1973</c:v>
                </c:pt>
                <c:pt idx="31">
                  <c:v>1974</c:v>
                </c:pt>
              </c:numCache>
            </c:numRef>
          </c:cat>
          <c:val>
            <c:numRef>
              <c:f>'NC State Simple'!$E$5:$E$36</c:f>
              <c:numCache>
                <c:formatCode>"$"#,##0</c:formatCode>
                <c:ptCount val="32"/>
                <c:pt idx="0">
                  <c:v>6.3519133099999996</c:v>
                </c:pt>
                <c:pt idx="1">
                  <c:v>6.4713652000000002</c:v>
                </c:pt>
                <c:pt idx="2">
                  <c:v>6.8599733499999997</c:v>
                </c:pt>
                <c:pt idx="3">
                  <c:v>2.9338117599999998</c:v>
                </c:pt>
                <c:pt idx="4">
                  <c:v>4.2589478700000001</c:v>
                </c:pt>
                <c:pt idx="5">
                  <c:v>7.8583935800000004</c:v>
                </c:pt>
                <c:pt idx="6">
                  <c:v>19.00717805</c:v>
                </c:pt>
                <c:pt idx="7">
                  <c:v>21.472047410000002</c:v>
                </c:pt>
                <c:pt idx="8">
                  <c:v>19.44667488</c:v>
                </c:pt>
                <c:pt idx="9">
                  <c:v>19.826805440000001</c:v>
                </c:pt>
                <c:pt idx="10">
                  <c:v>22.365257270000004</c:v>
                </c:pt>
                <c:pt idx="11">
                  <c:v>24.128652439999996</c:v>
                </c:pt>
                <c:pt idx="12">
                  <c:v>25.566595020000005</c:v>
                </c:pt>
                <c:pt idx="13">
                  <c:v>28.120332549999997</c:v>
                </c:pt>
                <c:pt idx="14">
                  <c:v>37.541905189999994</c:v>
                </c:pt>
                <c:pt idx="15">
                  <c:v>39.306035000000001</c:v>
                </c:pt>
                <c:pt idx="16">
                  <c:v>33.662285329999996</c:v>
                </c:pt>
                <c:pt idx="17">
                  <c:v>32.625380450000002</c:v>
                </c:pt>
                <c:pt idx="18">
                  <c:v>29.99218316</c:v>
                </c:pt>
                <c:pt idx="19">
                  <c:v>21.569633100000001</c:v>
                </c:pt>
                <c:pt idx="20">
                  <c:v>12.65881207</c:v>
                </c:pt>
                <c:pt idx="21">
                  <c:v>12.26541941</c:v>
                </c:pt>
                <c:pt idx="22">
                  <c:v>8.7237047699999994</c:v>
                </c:pt>
                <c:pt idx="23">
                  <c:v>8.7273755300000015</c:v>
                </c:pt>
                <c:pt idx="24">
                  <c:v>8.7034606199999995</c:v>
                </c:pt>
                <c:pt idx="25">
                  <c:v>8.9111290800000003</c:v>
                </c:pt>
                <c:pt idx="26">
                  <c:v>8.9742656899999993</c:v>
                </c:pt>
                <c:pt idx="27">
                  <c:v>8.9272680199999996</c:v>
                </c:pt>
                <c:pt idx="28">
                  <c:v>8.5397917199999984</c:v>
                </c:pt>
                <c:pt idx="29">
                  <c:v>8.4499638000000008</c:v>
                </c:pt>
                <c:pt idx="30">
                  <c:v>8.3050842900000017</c:v>
                </c:pt>
                <c:pt idx="31">
                  <c:v>7.5305242099999994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37-4763-BE8B-DB6DB8678941}"/>
            </c:ext>
          </c:extLst>
        </c:ser>
        <c:ser>
          <c:idx val="1"/>
          <c:order val="1"/>
          <c:tx>
            <c:strRef>
              <c:f>'NC State Simple'!$F$4</c:f>
              <c:strCache>
                <c:ptCount val="1"/>
                <c:pt idx="0">
                  <c:v>Federal Securities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'NC State Simple'!$A$5:$A$36</c:f>
              <c:numCache>
                <c:formatCode>General</c:formatCode>
                <c:ptCount val="32"/>
                <c:pt idx="0">
                  <c:v>1943</c:v>
                </c:pt>
                <c:pt idx="1">
                  <c:v>1944</c:v>
                </c:pt>
                <c:pt idx="2">
                  <c:v>1945</c:v>
                </c:pt>
                <c:pt idx="3">
                  <c:v>1946</c:v>
                </c:pt>
                <c:pt idx="4">
                  <c:v>1947</c:v>
                </c:pt>
                <c:pt idx="5">
                  <c:v>1948</c:v>
                </c:pt>
                <c:pt idx="6">
                  <c:v>1949</c:v>
                </c:pt>
                <c:pt idx="7">
                  <c:v>1950</c:v>
                </c:pt>
                <c:pt idx="8">
                  <c:v>1951</c:v>
                </c:pt>
                <c:pt idx="9">
                  <c:v>1952</c:v>
                </c:pt>
                <c:pt idx="10">
                  <c:v>1953</c:v>
                </c:pt>
                <c:pt idx="11">
                  <c:v>1954</c:v>
                </c:pt>
                <c:pt idx="12">
                  <c:v>1955</c:v>
                </c:pt>
                <c:pt idx="13">
                  <c:v>1956</c:v>
                </c:pt>
                <c:pt idx="14">
                  <c:v>1957</c:v>
                </c:pt>
                <c:pt idx="15">
                  <c:v>1958</c:v>
                </c:pt>
                <c:pt idx="16">
                  <c:v>1959</c:v>
                </c:pt>
                <c:pt idx="17">
                  <c:v>1960</c:v>
                </c:pt>
                <c:pt idx="18">
                  <c:v>1961</c:v>
                </c:pt>
                <c:pt idx="19">
                  <c:v>1962</c:v>
                </c:pt>
                <c:pt idx="20">
                  <c:v>1963</c:v>
                </c:pt>
                <c:pt idx="21">
                  <c:v>1964</c:v>
                </c:pt>
                <c:pt idx="22">
                  <c:v>1965</c:v>
                </c:pt>
                <c:pt idx="23">
                  <c:v>1966</c:v>
                </c:pt>
                <c:pt idx="24">
                  <c:v>1967</c:v>
                </c:pt>
                <c:pt idx="25">
                  <c:v>1968</c:v>
                </c:pt>
                <c:pt idx="26">
                  <c:v>1969</c:v>
                </c:pt>
                <c:pt idx="27">
                  <c:v>1970</c:v>
                </c:pt>
                <c:pt idx="28">
                  <c:v>1971</c:v>
                </c:pt>
                <c:pt idx="29">
                  <c:v>1972</c:v>
                </c:pt>
                <c:pt idx="30">
                  <c:v>1973</c:v>
                </c:pt>
                <c:pt idx="31">
                  <c:v>1974</c:v>
                </c:pt>
              </c:numCache>
            </c:numRef>
          </c:cat>
          <c:val>
            <c:numRef>
              <c:f>'NC State Simple'!$F$5:$F$36</c:f>
              <c:numCache>
                <c:formatCode>"$"#,##0</c:formatCode>
                <c:ptCount val="32"/>
                <c:pt idx="0">
                  <c:v>0.15</c:v>
                </c:pt>
                <c:pt idx="1">
                  <c:v>4.6800332000000004</c:v>
                </c:pt>
                <c:pt idx="2">
                  <c:v>8.6314985399999991</c:v>
                </c:pt>
                <c:pt idx="3">
                  <c:v>17.229439890000002</c:v>
                </c:pt>
                <c:pt idx="4">
                  <c:v>22.654163119999996</c:v>
                </c:pt>
                <c:pt idx="5">
                  <c:v>27.914532739999999</c:v>
                </c:pt>
                <c:pt idx="6">
                  <c:v>30.743628659999999</c:v>
                </c:pt>
                <c:pt idx="7">
                  <c:v>43.977775840000007</c:v>
                </c:pt>
                <c:pt idx="8">
                  <c:v>60.968775219999998</c:v>
                </c:pt>
                <c:pt idx="9">
                  <c:v>80.841992230000002</c:v>
                </c:pt>
                <c:pt idx="10">
                  <c:v>96.463294730000001</c:v>
                </c:pt>
                <c:pt idx="11">
                  <c:v>117.06244768000001</c:v>
                </c:pt>
                <c:pt idx="12">
                  <c:v>144.27937259000001</c:v>
                </c:pt>
                <c:pt idx="13">
                  <c:v>164.3549964</c:v>
                </c:pt>
                <c:pt idx="14">
                  <c:v>160.4817515</c:v>
                </c:pt>
                <c:pt idx="15">
                  <c:v>139.06542016</c:v>
                </c:pt>
                <c:pt idx="16">
                  <c:v>142.85986531</c:v>
                </c:pt>
                <c:pt idx="17">
                  <c:v>144.37566477999999</c:v>
                </c:pt>
                <c:pt idx="18">
                  <c:v>134.26005744</c:v>
                </c:pt>
                <c:pt idx="19">
                  <c:v>138.24596780000002</c:v>
                </c:pt>
                <c:pt idx="20">
                  <c:v>159.51128194999998</c:v>
                </c:pt>
                <c:pt idx="21">
                  <c:v>170.07052238999998</c:v>
                </c:pt>
                <c:pt idx="22">
                  <c:v>197.08989284</c:v>
                </c:pt>
                <c:pt idx="23">
                  <c:v>194.26206652000002</c:v>
                </c:pt>
                <c:pt idx="24">
                  <c:v>166.82537966999999</c:v>
                </c:pt>
                <c:pt idx="25">
                  <c:v>152.27623828999998</c:v>
                </c:pt>
                <c:pt idx="26">
                  <c:v>116.59693718999999</c:v>
                </c:pt>
                <c:pt idx="27">
                  <c:v>50.370832719999996</c:v>
                </c:pt>
                <c:pt idx="28">
                  <c:v>0.12205692999999999</c:v>
                </c:pt>
                <c:pt idx="29">
                  <c:v>3.9814410000000001E-2</c:v>
                </c:pt>
                <c:pt idx="30">
                  <c:v>4.9756807300000006</c:v>
                </c:pt>
                <c:pt idx="31">
                  <c:v>0.52466935999999997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37-4763-BE8B-DB6DB8678941}"/>
            </c:ext>
          </c:extLst>
        </c:ser>
        <c:ser>
          <c:idx val="2"/>
          <c:order val="2"/>
          <c:tx>
            <c:strRef>
              <c:f>'NC State Simple'!$G$4</c:f>
              <c:strCache>
                <c:ptCount val="1"/>
                <c:pt idx="0">
                  <c:v>Other Securities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'NC State Simple'!$A$5:$A$36</c:f>
              <c:numCache>
                <c:formatCode>General</c:formatCode>
                <c:ptCount val="32"/>
                <c:pt idx="0">
                  <c:v>1943</c:v>
                </c:pt>
                <c:pt idx="1">
                  <c:v>1944</c:v>
                </c:pt>
                <c:pt idx="2">
                  <c:v>1945</c:v>
                </c:pt>
                <c:pt idx="3">
                  <c:v>1946</c:v>
                </c:pt>
                <c:pt idx="4">
                  <c:v>1947</c:v>
                </c:pt>
                <c:pt idx="5">
                  <c:v>1948</c:v>
                </c:pt>
                <c:pt idx="6">
                  <c:v>1949</c:v>
                </c:pt>
                <c:pt idx="7">
                  <c:v>1950</c:v>
                </c:pt>
                <c:pt idx="8">
                  <c:v>1951</c:v>
                </c:pt>
                <c:pt idx="9">
                  <c:v>1952</c:v>
                </c:pt>
                <c:pt idx="10">
                  <c:v>1953</c:v>
                </c:pt>
                <c:pt idx="11">
                  <c:v>1954</c:v>
                </c:pt>
                <c:pt idx="12">
                  <c:v>1955</c:v>
                </c:pt>
                <c:pt idx="13">
                  <c:v>1956</c:v>
                </c:pt>
                <c:pt idx="14">
                  <c:v>1957</c:v>
                </c:pt>
                <c:pt idx="15">
                  <c:v>1958</c:v>
                </c:pt>
                <c:pt idx="16">
                  <c:v>1959</c:v>
                </c:pt>
                <c:pt idx="17">
                  <c:v>1960</c:v>
                </c:pt>
                <c:pt idx="18">
                  <c:v>1961</c:v>
                </c:pt>
                <c:pt idx="19">
                  <c:v>1962</c:v>
                </c:pt>
                <c:pt idx="20">
                  <c:v>1963</c:v>
                </c:pt>
                <c:pt idx="21">
                  <c:v>1964</c:v>
                </c:pt>
                <c:pt idx="22">
                  <c:v>1965</c:v>
                </c:pt>
                <c:pt idx="23">
                  <c:v>1966</c:v>
                </c:pt>
                <c:pt idx="24">
                  <c:v>1967</c:v>
                </c:pt>
                <c:pt idx="25">
                  <c:v>1968</c:v>
                </c:pt>
                <c:pt idx="26">
                  <c:v>1969</c:v>
                </c:pt>
                <c:pt idx="27">
                  <c:v>1970</c:v>
                </c:pt>
                <c:pt idx="28">
                  <c:v>1971</c:v>
                </c:pt>
                <c:pt idx="29">
                  <c:v>1972</c:v>
                </c:pt>
                <c:pt idx="30">
                  <c:v>1973</c:v>
                </c:pt>
                <c:pt idx="31">
                  <c:v>1974</c:v>
                </c:pt>
              </c:numCache>
            </c:numRef>
          </c:cat>
          <c:val>
            <c:numRef>
              <c:f>'NC State Simple'!$G$5:$G$36</c:f>
              <c:numCache>
                <c:formatCode>"$"#,##0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2.4217092899999999</c:v>
                </c:pt>
                <c:pt idx="11">
                  <c:v>2.4808952799999999</c:v>
                </c:pt>
                <c:pt idx="12">
                  <c:v>0</c:v>
                </c:pt>
                <c:pt idx="13">
                  <c:v>0</c:v>
                </c:pt>
                <c:pt idx="14">
                  <c:v>1.8597865900000001</c:v>
                </c:pt>
                <c:pt idx="15">
                  <c:v>41.501028570000003</c:v>
                </c:pt>
                <c:pt idx="16">
                  <c:v>64.130564219999997</c:v>
                </c:pt>
                <c:pt idx="17">
                  <c:v>86.165998760000008</c:v>
                </c:pt>
                <c:pt idx="18">
                  <c:v>123.02364798000001</c:v>
                </c:pt>
                <c:pt idx="19">
                  <c:v>162.32702534999999</c:v>
                </c:pt>
                <c:pt idx="20">
                  <c:v>187.31399833999998</c:v>
                </c:pt>
                <c:pt idx="21">
                  <c:v>222.13671972</c:v>
                </c:pt>
                <c:pt idx="22">
                  <c:v>245.81774253999998</c:v>
                </c:pt>
                <c:pt idx="23">
                  <c:v>313.11634056000003</c:v>
                </c:pt>
                <c:pt idx="24">
                  <c:v>411.01542407000005</c:v>
                </c:pt>
                <c:pt idx="25">
                  <c:v>518.48102831000006</c:v>
                </c:pt>
                <c:pt idx="26">
                  <c:v>656.44081160999997</c:v>
                </c:pt>
                <c:pt idx="27">
                  <c:v>839.08102167999994</c:v>
                </c:pt>
                <c:pt idx="28">
                  <c:v>1037.7506627400001</c:v>
                </c:pt>
                <c:pt idx="29">
                  <c:v>1202.3301996499999</c:v>
                </c:pt>
                <c:pt idx="30">
                  <c:v>1385.3388055999999</c:v>
                </c:pt>
                <c:pt idx="31">
                  <c:v>1583.1024940900002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37-4763-BE8B-DB6DB86789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44234815"/>
        <c:axId val="1644243551"/>
      </c:barChart>
      <c:catAx>
        <c:axId val="16442348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4243551"/>
        <c:crosses val="autoZero"/>
        <c:auto val="1"/>
        <c:lblAlgn val="ctr"/>
        <c:lblOffset val="100"/>
        <c:noMultiLvlLbl val="0"/>
      </c:catAx>
      <c:valAx>
        <c:axId val="16442435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42348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NCTSERS Asset</a:t>
            </a:r>
            <a:r>
              <a:rPr lang="en-US" baseline="0"/>
              <a:t> Composition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'NC State Simple'!$E$4</c:f>
              <c:strCache>
                <c:ptCount val="1"/>
                <c:pt idx="0">
                  <c:v>State and Local Government Securities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'NC State Simple'!$A$5:$A$36</c:f>
              <c:numCache>
                <c:formatCode>General</c:formatCode>
                <c:ptCount val="32"/>
                <c:pt idx="0">
                  <c:v>1943</c:v>
                </c:pt>
                <c:pt idx="1">
                  <c:v>1944</c:v>
                </c:pt>
                <c:pt idx="2">
                  <c:v>1945</c:v>
                </c:pt>
                <c:pt idx="3">
                  <c:v>1946</c:v>
                </c:pt>
                <c:pt idx="4">
                  <c:v>1947</c:v>
                </c:pt>
                <c:pt idx="5">
                  <c:v>1948</c:v>
                </c:pt>
                <c:pt idx="6">
                  <c:v>1949</c:v>
                </c:pt>
                <c:pt idx="7">
                  <c:v>1950</c:v>
                </c:pt>
                <c:pt idx="8">
                  <c:v>1951</c:v>
                </c:pt>
                <c:pt idx="9">
                  <c:v>1952</c:v>
                </c:pt>
                <c:pt idx="10">
                  <c:v>1953</c:v>
                </c:pt>
                <c:pt idx="11">
                  <c:v>1954</c:v>
                </c:pt>
                <c:pt idx="12">
                  <c:v>1955</c:v>
                </c:pt>
                <c:pt idx="13">
                  <c:v>1956</c:v>
                </c:pt>
                <c:pt idx="14">
                  <c:v>1957</c:v>
                </c:pt>
                <c:pt idx="15">
                  <c:v>1958</c:v>
                </c:pt>
                <c:pt idx="16">
                  <c:v>1959</c:v>
                </c:pt>
                <c:pt idx="17">
                  <c:v>1960</c:v>
                </c:pt>
                <c:pt idx="18">
                  <c:v>1961</c:v>
                </c:pt>
                <c:pt idx="19">
                  <c:v>1962</c:v>
                </c:pt>
                <c:pt idx="20">
                  <c:v>1963</c:v>
                </c:pt>
                <c:pt idx="21">
                  <c:v>1964</c:v>
                </c:pt>
                <c:pt idx="22">
                  <c:v>1965</c:v>
                </c:pt>
                <c:pt idx="23">
                  <c:v>1966</c:v>
                </c:pt>
                <c:pt idx="24">
                  <c:v>1967</c:v>
                </c:pt>
                <c:pt idx="25">
                  <c:v>1968</c:v>
                </c:pt>
                <c:pt idx="26">
                  <c:v>1969</c:v>
                </c:pt>
                <c:pt idx="27">
                  <c:v>1970</c:v>
                </c:pt>
                <c:pt idx="28">
                  <c:v>1971</c:v>
                </c:pt>
                <c:pt idx="29">
                  <c:v>1972</c:v>
                </c:pt>
                <c:pt idx="30">
                  <c:v>1973</c:v>
                </c:pt>
                <c:pt idx="31">
                  <c:v>1974</c:v>
                </c:pt>
              </c:numCache>
            </c:numRef>
          </c:cat>
          <c:val>
            <c:numRef>
              <c:f>'NC State Simple'!$E$5:$E$36</c:f>
              <c:numCache>
                <c:formatCode>"$"#,##0</c:formatCode>
                <c:ptCount val="32"/>
                <c:pt idx="0">
                  <c:v>6.3519133099999996</c:v>
                </c:pt>
                <c:pt idx="1">
                  <c:v>6.4713652000000002</c:v>
                </c:pt>
                <c:pt idx="2">
                  <c:v>6.8599733499999997</c:v>
                </c:pt>
                <c:pt idx="3">
                  <c:v>2.9338117599999998</c:v>
                </c:pt>
                <c:pt idx="4">
                  <c:v>4.2589478700000001</c:v>
                </c:pt>
                <c:pt idx="5">
                  <c:v>7.8583935800000004</c:v>
                </c:pt>
                <c:pt idx="6">
                  <c:v>19.00717805</c:v>
                </c:pt>
                <c:pt idx="7">
                  <c:v>21.472047410000002</c:v>
                </c:pt>
                <c:pt idx="8">
                  <c:v>19.44667488</c:v>
                </c:pt>
                <c:pt idx="9">
                  <c:v>19.826805440000001</c:v>
                </c:pt>
                <c:pt idx="10">
                  <c:v>22.365257270000004</c:v>
                </c:pt>
                <c:pt idx="11">
                  <c:v>24.128652439999996</c:v>
                </c:pt>
                <c:pt idx="12">
                  <c:v>25.566595020000005</c:v>
                </c:pt>
                <c:pt idx="13">
                  <c:v>28.120332549999997</c:v>
                </c:pt>
                <c:pt idx="14">
                  <c:v>37.541905189999994</c:v>
                </c:pt>
                <c:pt idx="15">
                  <c:v>39.306035000000001</c:v>
                </c:pt>
                <c:pt idx="16">
                  <c:v>33.662285329999996</c:v>
                </c:pt>
                <c:pt idx="17">
                  <c:v>32.625380450000002</c:v>
                </c:pt>
                <c:pt idx="18">
                  <c:v>29.99218316</c:v>
                </c:pt>
                <c:pt idx="19">
                  <c:v>21.569633100000001</c:v>
                </c:pt>
                <c:pt idx="20">
                  <c:v>12.65881207</c:v>
                </c:pt>
                <c:pt idx="21">
                  <c:v>12.26541941</c:v>
                </c:pt>
                <c:pt idx="22">
                  <c:v>8.7237047699999994</c:v>
                </c:pt>
                <c:pt idx="23">
                  <c:v>8.7273755300000015</c:v>
                </c:pt>
                <c:pt idx="24">
                  <c:v>8.7034606199999995</c:v>
                </c:pt>
                <c:pt idx="25">
                  <c:v>8.9111290800000003</c:v>
                </c:pt>
                <c:pt idx="26">
                  <c:v>8.9742656899999993</c:v>
                </c:pt>
                <c:pt idx="27">
                  <c:v>8.9272680199999996</c:v>
                </c:pt>
                <c:pt idx="28">
                  <c:v>8.5397917199999984</c:v>
                </c:pt>
                <c:pt idx="29">
                  <c:v>8.4499638000000008</c:v>
                </c:pt>
                <c:pt idx="30">
                  <c:v>8.3050842900000017</c:v>
                </c:pt>
                <c:pt idx="31">
                  <c:v>7.5305242099999994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AA-4D34-8FF7-AC5A019FD912}"/>
            </c:ext>
          </c:extLst>
        </c:ser>
        <c:ser>
          <c:idx val="1"/>
          <c:order val="1"/>
          <c:tx>
            <c:strRef>
              <c:f>'NC State Simple'!$F$4</c:f>
              <c:strCache>
                <c:ptCount val="1"/>
                <c:pt idx="0">
                  <c:v>Federal Securities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'NC State Simple'!$A$5:$A$36</c:f>
              <c:numCache>
                <c:formatCode>General</c:formatCode>
                <c:ptCount val="32"/>
                <c:pt idx="0">
                  <c:v>1943</c:v>
                </c:pt>
                <c:pt idx="1">
                  <c:v>1944</c:v>
                </c:pt>
                <c:pt idx="2">
                  <c:v>1945</c:v>
                </c:pt>
                <c:pt idx="3">
                  <c:v>1946</c:v>
                </c:pt>
                <c:pt idx="4">
                  <c:v>1947</c:v>
                </c:pt>
                <c:pt idx="5">
                  <c:v>1948</c:v>
                </c:pt>
                <c:pt idx="6">
                  <c:v>1949</c:v>
                </c:pt>
                <c:pt idx="7">
                  <c:v>1950</c:v>
                </c:pt>
                <c:pt idx="8">
                  <c:v>1951</c:v>
                </c:pt>
                <c:pt idx="9">
                  <c:v>1952</c:v>
                </c:pt>
                <c:pt idx="10">
                  <c:v>1953</c:v>
                </c:pt>
                <c:pt idx="11">
                  <c:v>1954</c:v>
                </c:pt>
                <c:pt idx="12">
                  <c:v>1955</c:v>
                </c:pt>
                <c:pt idx="13">
                  <c:v>1956</c:v>
                </c:pt>
                <c:pt idx="14">
                  <c:v>1957</c:v>
                </c:pt>
                <c:pt idx="15">
                  <c:v>1958</c:v>
                </c:pt>
                <c:pt idx="16">
                  <c:v>1959</c:v>
                </c:pt>
                <c:pt idx="17">
                  <c:v>1960</c:v>
                </c:pt>
                <c:pt idx="18">
                  <c:v>1961</c:v>
                </c:pt>
                <c:pt idx="19">
                  <c:v>1962</c:v>
                </c:pt>
                <c:pt idx="20">
                  <c:v>1963</c:v>
                </c:pt>
                <c:pt idx="21">
                  <c:v>1964</c:v>
                </c:pt>
                <c:pt idx="22">
                  <c:v>1965</c:v>
                </c:pt>
                <c:pt idx="23">
                  <c:v>1966</c:v>
                </c:pt>
                <c:pt idx="24">
                  <c:v>1967</c:v>
                </c:pt>
                <c:pt idx="25">
                  <c:v>1968</c:v>
                </c:pt>
                <c:pt idx="26">
                  <c:v>1969</c:v>
                </c:pt>
                <c:pt idx="27">
                  <c:v>1970</c:v>
                </c:pt>
                <c:pt idx="28">
                  <c:v>1971</c:v>
                </c:pt>
                <c:pt idx="29">
                  <c:v>1972</c:v>
                </c:pt>
                <c:pt idx="30">
                  <c:v>1973</c:v>
                </c:pt>
                <c:pt idx="31">
                  <c:v>1974</c:v>
                </c:pt>
              </c:numCache>
            </c:numRef>
          </c:cat>
          <c:val>
            <c:numRef>
              <c:f>'NC State Simple'!$F$5:$F$36</c:f>
              <c:numCache>
                <c:formatCode>"$"#,##0</c:formatCode>
                <c:ptCount val="32"/>
                <c:pt idx="0">
                  <c:v>0.15</c:v>
                </c:pt>
                <c:pt idx="1">
                  <c:v>4.6800332000000004</c:v>
                </c:pt>
                <c:pt idx="2">
                  <c:v>8.6314985399999991</c:v>
                </c:pt>
                <c:pt idx="3">
                  <c:v>17.229439890000002</c:v>
                </c:pt>
                <c:pt idx="4">
                  <c:v>22.654163119999996</c:v>
                </c:pt>
                <c:pt idx="5">
                  <c:v>27.914532739999999</c:v>
                </c:pt>
                <c:pt idx="6">
                  <c:v>30.743628659999999</c:v>
                </c:pt>
                <c:pt idx="7">
                  <c:v>43.977775840000007</c:v>
                </c:pt>
                <c:pt idx="8">
                  <c:v>60.968775219999998</c:v>
                </c:pt>
                <c:pt idx="9">
                  <c:v>80.841992230000002</c:v>
                </c:pt>
                <c:pt idx="10">
                  <c:v>96.463294730000001</c:v>
                </c:pt>
                <c:pt idx="11">
                  <c:v>117.06244768000001</c:v>
                </c:pt>
                <c:pt idx="12">
                  <c:v>144.27937259000001</c:v>
                </c:pt>
                <c:pt idx="13">
                  <c:v>164.3549964</c:v>
                </c:pt>
                <c:pt idx="14">
                  <c:v>160.4817515</c:v>
                </c:pt>
                <c:pt idx="15">
                  <c:v>139.06542016</c:v>
                </c:pt>
                <c:pt idx="16">
                  <c:v>142.85986531</c:v>
                </c:pt>
                <c:pt idx="17">
                  <c:v>144.37566477999999</c:v>
                </c:pt>
                <c:pt idx="18">
                  <c:v>134.26005744</c:v>
                </c:pt>
                <c:pt idx="19">
                  <c:v>138.24596780000002</c:v>
                </c:pt>
                <c:pt idx="20">
                  <c:v>159.51128194999998</c:v>
                </c:pt>
                <c:pt idx="21">
                  <c:v>170.07052238999998</c:v>
                </c:pt>
                <c:pt idx="22">
                  <c:v>197.08989284</c:v>
                </c:pt>
                <c:pt idx="23">
                  <c:v>194.26206652000002</c:v>
                </c:pt>
                <c:pt idx="24">
                  <c:v>166.82537966999999</c:v>
                </c:pt>
                <c:pt idx="25">
                  <c:v>152.27623828999998</c:v>
                </c:pt>
                <c:pt idx="26">
                  <c:v>116.59693718999999</c:v>
                </c:pt>
                <c:pt idx="27">
                  <c:v>50.370832719999996</c:v>
                </c:pt>
                <c:pt idx="28">
                  <c:v>0.12205692999999999</c:v>
                </c:pt>
                <c:pt idx="29">
                  <c:v>3.9814410000000001E-2</c:v>
                </c:pt>
                <c:pt idx="30">
                  <c:v>4.9756807300000006</c:v>
                </c:pt>
                <c:pt idx="31">
                  <c:v>0.52466935999999997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AA-4D34-8FF7-AC5A019FD912}"/>
            </c:ext>
          </c:extLst>
        </c:ser>
        <c:ser>
          <c:idx val="2"/>
          <c:order val="2"/>
          <c:tx>
            <c:strRef>
              <c:f>'NC State Simple'!$G$4</c:f>
              <c:strCache>
                <c:ptCount val="1"/>
                <c:pt idx="0">
                  <c:v>Other Securities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'NC State Simple'!$A$5:$A$36</c:f>
              <c:numCache>
                <c:formatCode>General</c:formatCode>
                <c:ptCount val="32"/>
                <c:pt idx="0">
                  <c:v>1943</c:v>
                </c:pt>
                <c:pt idx="1">
                  <c:v>1944</c:v>
                </c:pt>
                <c:pt idx="2">
                  <c:v>1945</c:v>
                </c:pt>
                <c:pt idx="3">
                  <c:v>1946</c:v>
                </c:pt>
                <c:pt idx="4">
                  <c:v>1947</c:v>
                </c:pt>
                <c:pt idx="5">
                  <c:v>1948</c:v>
                </c:pt>
                <c:pt idx="6">
                  <c:v>1949</c:v>
                </c:pt>
                <c:pt idx="7">
                  <c:v>1950</c:v>
                </c:pt>
                <c:pt idx="8">
                  <c:v>1951</c:v>
                </c:pt>
                <c:pt idx="9">
                  <c:v>1952</c:v>
                </c:pt>
                <c:pt idx="10">
                  <c:v>1953</c:v>
                </c:pt>
                <c:pt idx="11">
                  <c:v>1954</c:v>
                </c:pt>
                <c:pt idx="12">
                  <c:v>1955</c:v>
                </c:pt>
                <c:pt idx="13">
                  <c:v>1956</c:v>
                </c:pt>
                <c:pt idx="14">
                  <c:v>1957</c:v>
                </c:pt>
                <c:pt idx="15">
                  <c:v>1958</c:v>
                </c:pt>
                <c:pt idx="16">
                  <c:v>1959</c:v>
                </c:pt>
                <c:pt idx="17">
                  <c:v>1960</c:v>
                </c:pt>
                <c:pt idx="18">
                  <c:v>1961</c:v>
                </c:pt>
                <c:pt idx="19">
                  <c:v>1962</c:v>
                </c:pt>
                <c:pt idx="20">
                  <c:v>1963</c:v>
                </c:pt>
                <c:pt idx="21">
                  <c:v>1964</c:v>
                </c:pt>
                <c:pt idx="22">
                  <c:v>1965</c:v>
                </c:pt>
                <c:pt idx="23">
                  <c:v>1966</c:v>
                </c:pt>
                <c:pt idx="24">
                  <c:v>1967</c:v>
                </c:pt>
                <c:pt idx="25">
                  <c:v>1968</c:v>
                </c:pt>
                <c:pt idx="26">
                  <c:v>1969</c:v>
                </c:pt>
                <c:pt idx="27">
                  <c:v>1970</c:v>
                </c:pt>
                <c:pt idx="28">
                  <c:v>1971</c:v>
                </c:pt>
                <c:pt idx="29">
                  <c:v>1972</c:v>
                </c:pt>
                <c:pt idx="30">
                  <c:v>1973</c:v>
                </c:pt>
                <c:pt idx="31">
                  <c:v>1974</c:v>
                </c:pt>
              </c:numCache>
            </c:numRef>
          </c:cat>
          <c:val>
            <c:numRef>
              <c:f>'NC State Simple'!$G$5:$G$36</c:f>
              <c:numCache>
                <c:formatCode>"$"#,##0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2.4217092899999999</c:v>
                </c:pt>
                <c:pt idx="11">
                  <c:v>2.4808952799999999</c:v>
                </c:pt>
                <c:pt idx="12">
                  <c:v>0</c:v>
                </c:pt>
                <c:pt idx="13">
                  <c:v>0</c:v>
                </c:pt>
                <c:pt idx="14">
                  <c:v>1.8597865900000001</c:v>
                </c:pt>
                <c:pt idx="15">
                  <c:v>41.501028570000003</c:v>
                </c:pt>
                <c:pt idx="16">
                  <c:v>64.130564219999997</c:v>
                </c:pt>
                <c:pt idx="17">
                  <c:v>86.165998760000008</c:v>
                </c:pt>
                <c:pt idx="18">
                  <c:v>123.02364798000001</c:v>
                </c:pt>
                <c:pt idx="19">
                  <c:v>162.32702534999999</c:v>
                </c:pt>
                <c:pt idx="20">
                  <c:v>187.31399833999998</c:v>
                </c:pt>
                <c:pt idx="21">
                  <c:v>222.13671972</c:v>
                </c:pt>
                <c:pt idx="22">
                  <c:v>245.81774253999998</c:v>
                </c:pt>
                <c:pt idx="23">
                  <c:v>313.11634056000003</c:v>
                </c:pt>
                <c:pt idx="24">
                  <c:v>411.01542407000005</c:v>
                </c:pt>
                <c:pt idx="25">
                  <c:v>518.48102831000006</c:v>
                </c:pt>
                <c:pt idx="26">
                  <c:v>656.44081160999997</c:v>
                </c:pt>
                <c:pt idx="27">
                  <c:v>839.08102167999994</c:v>
                </c:pt>
                <c:pt idx="28">
                  <c:v>1037.7506627400001</c:v>
                </c:pt>
                <c:pt idx="29">
                  <c:v>1202.3301996499999</c:v>
                </c:pt>
                <c:pt idx="30">
                  <c:v>1385.3388055999999</c:v>
                </c:pt>
                <c:pt idx="31">
                  <c:v>1583.1024940900002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9AA-4D34-8FF7-AC5A019FD9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44234815"/>
        <c:axId val="1644243551"/>
      </c:barChart>
      <c:catAx>
        <c:axId val="16442348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4243551"/>
        <c:crosses val="autoZero"/>
        <c:auto val="1"/>
        <c:lblAlgn val="ctr"/>
        <c:lblOffset val="100"/>
        <c:noMultiLvlLbl val="0"/>
      </c:catAx>
      <c:valAx>
        <c:axId val="16442435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42348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NYSERS Assets ($ millions)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'NYSERS SImple'!$E$4</c:f>
              <c:strCache>
                <c:ptCount val="1"/>
                <c:pt idx="0">
                  <c:v>State and Local Government Securities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'NYSERS SImple'!$A$5:$A$34</c:f>
              <c:numCache>
                <c:formatCode>General</c:formatCode>
                <c:ptCount val="30"/>
                <c:pt idx="0">
                  <c:v>1945</c:v>
                </c:pt>
                <c:pt idx="1">
                  <c:v>1946</c:v>
                </c:pt>
                <c:pt idx="2">
                  <c:v>1947</c:v>
                </c:pt>
                <c:pt idx="3">
                  <c:v>1948</c:v>
                </c:pt>
                <c:pt idx="4">
                  <c:v>1949</c:v>
                </c:pt>
                <c:pt idx="5">
                  <c:v>1950</c:v>
                </c:pt>
                <c:pt idx="6">
                  <c:v>1951</c:v>
                </c:pt>
                <c:pt idx="7">
                  <c:v>1952</c:v>
                </c:pt>
                <c:pt idx="8">
                  <c:v>1953</c:v>
                </c:pt>
                <c:pt idx="9">
                  <c:v>1954</c:v>
                </c:pt>
                <c:pt idx="10">
                  <c:v>1955</c:v>
                </c:pt>
                <c:pt idx="11">
                  <c:v>1956</c:v>
                </c:pt>
                <c:pt idx="12">
                  <c:v>1957</c:v>
                </c:pt>
                <c:pt idx="13">
                  <c:v>1958</c:v>
                </c:pt>
                <c:pt idx="14">
                  <c:v>1959</c:v>
                </c:pt>
                <c:pt idx="15">
                  <c:v>1960</c:v>
                </c:pt>
                <c:pt idx="16">
                  <c:v>1961</c:v>
                </c:pt>
                <c:pt idx="17">
                  <c:v>1962</c:v>
                </c:pt>
                <c:pt idx="18">
                  <c:v>1963</c:v>
                </c:pt>
                <c:pt idx="19">
                  <c:v>1964</c:v>
                </c:pt>
                <c:pt idx="20">
                  <c:v>1965</c:v>
                </c:pt>
                <c:pt idx="21">
                  <c:v>1966</c:v>
                </c:pt>
                <c:pt idx="22">
                  <c:v>1967</c:v>
                </c:pt>
                <c:pt idx="23">
                  <c:v>1968</c:v>
                </c:pt>
                <c:pt idx="24">
                  <c:v>1969</c:v>
                </c:pt>
                <c:pt idx="25">
                  <c:v>1970</c:v>
                </c:pt>
                <c:pt idx="26">
                  <c:v>1971</c:v>
                </c:pt>
                <c:pt idx="27">
                  <c:v>1972</c:v>
                </c:pt>
                <c:pt idx="28">
                  <c:v>1973</c:v>
                </c:pt>
                <c:pt idx="29">
                  <c:v>1974</c:v>
                </c:pt>
              </c:numCache>
            </c:numRef>
          </c:cat>
          <c:val>
            <c:numRef>
              <c:f>'NYSERS SImple'!$E$5:$E$34</c:f>
              <c:numCache>
                <c:formatCode>"$"#,##0</c:formatCode>
                <c:ptCount val="30"/>
                <c:pt idx="0">
                  <c:v>123.32459</c:v>
                </c:pt>
                <c:pt idx="1">
                  <c:v>96.640641250000002</c:v>
                </c:pt>
                <c:pt idx="2">
                  <c:v>99.618742499999996</c:v>
                </c:pt>
                <c:pt idx="3">
                  <c:v>122.86014375000001</c:v>
                </c:pt>
                <c:pt idx="4">
                  <c:v>128.90990500000001</c:v>
                </c:pt>
                <c:pt idx="5">
                  <c:v>130.30656625</c:v>
                </c:pt>
                <c:pt idx="6">
                  <c:v>135.9808275</c:v>
                </c:pt>
                <c:pt idx="7">
                  <c:v>130.27423874999999</c:v>
                </c:pt>
                <c:pt idx="8">
                  <c:v>145.13955000000001</c:v>
                </c:pt>
                <c:pt idx="9">
                  <c:v>200.14118999999999</c:v>
                </c:pt>
                <c:pt idx="10">
                  <c:v>264.15427199999999</c:v>
                </c:pt>
                <c:pt idx="11">
                  <c:v>285.483272</c:v>
                </c:pt>
                <c:pt idx="12">
                  <c:v>317.35797200000002</c:v>
                </c:pt>
                <c:pt idx="13">
                  <c:v>354.93557199999998</c:v>
                </c:pt>
                <c:pt idx="14">
                  <c:v>349.873672</c:v>
                </c:pt>
                <c:pt idx="15">
                  <c:v>330.70377200000001</c:v>
                </c:pt>
                <c:pt idx="16">
                  <c:v>318.47437200000002</c:v>
                </c:pt>
                <c:pt idx="17">
                  <c:v>305.68747200000001</c:v>
                </c:pt>
                <c:pt idx="18">
                  <c:v>240.897572</c:v>
                </c:pt>
                <c:pt idx="19">
                  <c:v>160.29517200000001</c:v>
                </c:pt>
                <c:pt idx="20">
                  <c:v>64.009022000000002</c:v>
                </c:pt>
                <c:pt idx="21">
                  <c:v>41.873522000000001</c:v>
                </c:pt>
                <c:pt idx="22">
                  <c:v>41.400022</c:v>
                </c:pt>
                <c:pt idx="23">
                  <c:v>40.533521999999998</c:v>
                </c:pt>
                <c:pt idx="24">
                  <c:v>40.135522000000002</c:v>
                </c:pt>
                <c:pt idx="25">
                  <c:v>39.746521999999999</c:v>
                </c:pt>
                <c:pt idx="26">
                  <c:v>39.288522</c:v>
                </c:pt>
                <c:pt idx="27">
                  <c:v>38.748522000000001</c:v>
                </c:pt>
                <c:pt idx="28">
                  <c:v>38.465522</c:v>
                </c:pt>
                <c:pt idx="29">
                  <c:v>37.835521999999997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34-461F-891B-1A500DD18D89}"/>
            </c:ext>
          </c:extLst>
        </c:ser>
        <c:ser>
          <c:idx val="1"/>
          <c:order val="1"/>
          <c:tx>
            <c:strRef>
              <c:f>'NYSERS SImple'!$F$4</c:f>
              <c:strCache>
                <c:ptCount val="1"/>
                <c:pt idx="0">
                  <c:v>Federal Securities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'NYSERS SImple'!$A$5:$A$34</c:f>
              <c:numCache>
                <c:formatCode>General</c:formatCode>
                <c:ptCount val="30"/>
                <c:pt idx="0">
                  <c:v>1945</c:v>
                </c:pt>
                <c:pt idx="1">
                  <c:v>1946</c:v>
                </c:pt>
                <c:pt idx="2">
                  <c:v>1947</c:v>
                </c:pt>
                <c:pt idx="3">
                  <c:v>1948</c:v>
                </c:pt>
                <c:pt idx="4">
                  <c:v>1949</c:v>
                </c:pt>
                <c:pt idx="5">
                  <c:v>1950</c:v>
                </c:pt>
                <c:pt idx="6">
                  <c:v>1951</c:v>
                </c:pt>
                <c:pt idx="7">
                  <c:v>1952</c:v>
                </c:pt>
                <c:pt idx="8">
                  <c:v>1953</c:v>
                </c:pt>
                <c:pt idx="9">
                  <c:v>1954</c:v>
                </c:pt>
                <c:pt idx="10">
                  <c:v>1955</c:v>
                </c:pt>
                <c:pt idx="11">
                  <c:v>1956</c:v>
                </c:pt>
                <c:pt idx="12">
                  <c:v>1957</c:v>
                </c:pt>
                <c:pt idx="13">
                  <c:v>1958</c:v>
                </c:pt>
                <c:pt idx="14">
                  <c:v>1959</c:v>
                </c:pt>
                <c:pt idx="15">
                  <c:v>1960</c:v>
                </c:pt>
                <c:pt idx="16">
                  <c:v>1961</c:v>
                </c:pt>
                <c:pt idx="17">
                  <c:v>1962</c:v>
                </c:pt>
                <c:pt idx="18">
                  <c:v>1963</c:v>
                </c:pt>
                <c:pt idx="19">
                  <c:v>1964</c:v>
                </c:pt>
                <c:pt idx="20">
                  <c:v>1965</c:v>
                </c:pt>
                <c:pt idx="21">
                  <c:v>1966</c:v>
                </c:pt>
                <c:pt idx="22">
                  <c:v>1967</c:v>
                </c:pt>
                <c:pt idx="23">
                  <c:v>1968</c:v>
                </c:pt>
                <c:pt idx="24">
                  <c:v>1969</c:v>
                </c:pt>
                <c:pt idx="25">
                  <c:v>1970</c:v>
                </c:pt>
                <c:pt idx="26">
                  <c:v>1971</c:v>
                </c:pt>
                <c:pt idx="27">
                  <c:v>1972</c:v>
                </c:pt>
                <c:pt idx="28">
                  <c:v>1973</c:v>
                </c:pt>
                <c:pt idx="29">
                  <c:v>1974</c:v>
                </c:pt>
              </c:numCache>
            </c:numRef>
          </c:cat>
          <c:val>
            <c:numRef>
              <c:f>'NYSERS SImple'!$F$5:$F$34</c:f>
              <c:numCache>
                <c:formatCode>"$"#,##0</c:formatCode>
                <c:ptCount val="30"/>
                <c:pt idx="0">
                  <c:v>78.543049999999994</c:v>
                </c:pt>
                <c:pt idx="1">
                  <c:v>142.23605000000001</c:v>
                </c:pt>
                <c:pt idx="2">
                  <c:v>164.05805000000001</c:v>
                </c:pt>
                <c:pt idx="3">
                  <c:v>174.21404999999999</c:v>
                </c:pt>
                <c:pt idx="4">
                  <c:v>205.71205</c:v>
                </c:pt>
                <c:pt idx="5">
                  <c:v>227.16605000000001</c:v>
                </c:pt>
                <c:pt idx="6">
                  <c:v>232.33904999999999</c:v>
                </c:pt>
                <c:pt idx="7">
                  <c:v>274.27805000000001</c:v>
                </c:pt>
                <c:pt idx="8">
                  <c:v>278.75405000000001</c:v>
                </c:pt>
                <c:pt idx="9">
                  <c:v>278.83445</c:v>
                </c:pt>
                <c:pt idx="10">
                  <c:v>318.00605000000002</c:v>
                </c:pt>
                <c:pt idx="11">
                  <c:v>389.67104999999998</c:v>
                </c:pt>
                <c:pt idx="12">
                  <c:v>467.23894999999999</c:v>
                </c:pt>
                <c:pt idx="13">
                  <c:v>514.71394999999995</c:v>
                </c:pt>
                <c:pt idx="14">
                  <c:v>548.40395000000001</c:v>
                </c:pt>
                <c:pt idx="15">
                  <c:v>580.59389999999996</c:v>
                </c:pt>
                <c:pt idx="16">
                  <c:v>535.11429999999996</c:v>
                </c:pt>
                <c:pt idx="17">
                  <c:v>527.21105</c:v>
                </c:pt>
                <c:pt idx="18">
                  <c:v>611.18034999999998</c:v>
                </c:pt>
                <c:pt idx="19">
                  <c:v>723.41084999999998</c:v>
                </c:pt>
                <c:pt idx="20">
                  <c:v>856.10985000000005</c:v>
                </c:pt>
                <c:pt idx="21">
                  <c:v>830.82799999999997</c:v>
                </c:pt>
                <c:pt idx="22">
                  <c:v>631.77300000000002</c:v>
                </c:pt>
                <c:pt idx="23">
                  <c:v>604.64</c:v>
                </c:pt>
                <c:pt idx="24">
                  <c:v>761.46900000000005</c:v>
                </c:pt>
                <c:pt idx="25">
                  <c:v>508.26799999999997</c:v>
                </c:pt>
                <c:pt idx="26">
                  <c:v>730.37746700000002</c:v>
                </c:pt>
                <c:pt idx="27">
                  <c:v>760.269811</c:v>
                </c:pt>
                <c:pt idx="28">
                  <c:v>850.35953800000004</c:v>
                </c:pt>
                <c:pt idx="29">
                  <c:v>557.82918500000005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34-461F-891B-1A500DD18D89}"/>
            </c:ext>
          </c:extLst>
        </c:ser>
        <c:ser>
          <c:idx val="2"/>
          <c:order val="2"/>
          <c:tx>
            <c:strRef>
              <c:f>'NYSERS SImple'!$G$4</c:f>
              <c:strCache>
                <c:ptCount val="1"/>
                <c:pt idx="0">
                  <c:v>Other Securities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'NYSERS SImple'!$A$5:$A$34</c:f>
              <c:numCache>
                <c:formatCode>General</c:formatCode>
                <c:ptCount val="30"/>
                <c:pt idx="0">
                  <c:v>1945</c:v>
                </c:pt>
                <c:pt idx="1">
                  <c:v>1946</c:v>
                </c:pt>
                <c:pt idx="2">
                  <c:v>1947</c:v>
                </c:pt>
                <c:pt idx="3">
                  <c:v>1948</c:v>
                </c:pt>
                <c:pt idx="4">
                  <c:v>1949</c:v>
                </c:pt>
                <c:pt idx="5">
                  <c:v>1950</c:v>
                </c:pt>
                <c:pt idx="6">
                  <c:v>1951</c:v>
                </c:pt>
                <c:pt idx="7">
                  <c:v>1952</c:v>
                </c:pt>
                <c:pt idx="8">
                  <c:v>1953</c:v>
                </c:pt>
                <c:pt idx="9">
                  <c:v>1954</c:v>
                </c:pt>
                <c:pt idx="10">
                  <c:v>1955</c:v>
                </c:pt>
                <c:pt idx="11">
                  <c:v>1956</c:v>
                </c:pt>
                <c:pt idx="12">
                  <c:v>1957</c:v>
                </c:pt>
                <c:pt idx="13">
                  <c:v>1958</c:v>
                </c:pt>
                <c:pt idx="14">
                  <c:v>1959</c:v>
                </c:pt>
                <c:pt idx="15">
                  <c:v>1960</c:v>
                </c:pt>
                <c:pt idx="16">
                  <c:v>1961</c:v>
                </c:pt>
                <c:pt idx="17">
                  <c:v>1962</c:v>
                </c:pt>
                <c:pt idx="18">
                  <c:v>1963</c:v>
                </c:pt>
                <c:pt idx="19">
                  <c:v>1964</c:v>
                </c:pt>
                <c:pt idx="20">
                  <c:v>1965</c:v>
                </c:pt>
                <c:pt idx="21">
                  <c:v>1966</c:v>
                </c:pt>
                <c:pt idx="22">
                  <c:v>1967</c:v>
                </c:pt>
                <c:pt idx="23">
                  <c:v>1968</c:v>
                </c:pt>
                <c:pt idx="24">
                  <c:v>1969</c:v>
                </c:pt>
                <c:pt idx="25">
                  <c:v>1970</c:v>
                </c:pt>
                <c:pt idx="26">
                  <c:v>1971</c:v>
                </c:pt>
                <c:pt idx="27">
                  <c:v>1972</c:v>
                </c:pt>
                <c:pt idx="28">
                  <c:v>1973</c:v>
                </c:pt>
                <c:pt idx="29">
                  <c:v>1974</c:v>
                </c:pt>
              </c:numCache>
            </c:numRef>
          </c:cat>
          <c:val>
            <c:numRef>
              <c:f>'NYSERS SImple'!$G$5:$G$34</c:f>
              <c:numCache>
                <c:formatCode>"$"#,##0</c:formatCode>
                <c:ptCount val="30"/>
                <c:pt idx="0">
                  <c:v>20.252531690000001</c:v>
                </c:pt>
                <c:pt idx="1">
                  <c:v>18.349266839999999</c:v>
                </c:pt>
                <c:pt idx="2">
                  <c:v>12.815811609999999</c:v>
                </c:pt>
                <c:pt idx="3">
                  <c:v>11.510439810000001</c:v>
                </c:pt>
                <c:pt idx="4">
                  <c:v>13.305397189999999</c:v>
                </c:pt>
                <c:pt idx="5">
                  <c:v>48.022880919999999</c:v>
                </c:pt>
                <c:pt idx="6">
                  <c:v>102.42432795000001</c:v>
                </c:pt>
                <c:pt idx="7">
                  <c:v>135.74463627</c:v>
                </c:pt>
                <c:pt idx="8">
                  <c:v>170.93540143000001</c:v>
                </c:pt>
                <c:pt idx="9">
                  <c:v>204.56474305</c:v>
                </c:pt>
                <c:pt idx="10">
                  <c:v>192.26500596</c:v>
                </c:pt>
                <c:pt idx="11">
                  <c:v>201.29772278000002</c:v>
                </c:pt>
                <c:pt idx="12">
                  <c:v>202.41547348</c:v>
                </c:pt>
                <c:pt idx="13">
                  <c:v>228.92488945999997</c:v>
                </c:pt>
                <c:pt idx="14">
                  <c:v>335.65830739999996</c:v>
                </c:pt>
                <c:pt idx="15">
                  <c:v>474.28808297</c:v>
                </c:pt>
                <c:pt idx="16">
                  <c:v>660.87782942999991</c:v>
                </c:pt>
                <c:pt idx="17">
                  <c:v>820.44381344999999</c:v>
                </c:pt>
                <c:pt idx="18">
                  <c:v>967.63317935999999</c:v>
                </c:pt>
                <c:pt idx="19">
                  <c:v>1127.73736624</c:v>
                </c:pt>
                <c:pt idx="20">
                  <c:v>1298.7645219999999</c:v>
                </c:pt>
                <c:pt idx="21">
                  <c:v>1557.6349130000001</c:v>
                </c:pt>
                <c:pt idx="22">
                  <c:v>2009.52406</c:v>
                </c:pt>
                <c:pt idx="23">
                  <c:v>2324.7402310000002</c:v>
                </c:pt>
                <c:pt idx="24">
                  <c:v>2475.3335649999999</c:v>
                </c:pt>
                <c:pt idx="25">
                  <c:v>3058.4525610000001</c:v>
                </c:pt>
                <c:pt idx="26">
                  <c:v>3190.9637309999998</c:v>
                </c:pt>
                <c:pt idx="27">
                  <c:v>3651.3525239999999</c:v>
                </c:pt>
                <c:pt idx="28">
                  <c:v>4111.4209220000002</c:v>
                </c:pt>
                <c:pt idx="29">
                  <c:v>4964.5742570000002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934-461F-891B-1A500DD18D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73300367"/>
        <c:axId val="1673300783"/>
      </c:barChart>
      <c:catAx>
        <c:axId val="16733003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3300783"/>
        <c:crosses val="autoZero"/>
        <c:auto val="1"/>
        <c:lblAlgn val="ctr"/>
        <c:lblOffset val="100"/>
        <c:noMultiLvlLbl val="0"/>
      </c:catAx>
      <c:valAx>
        <c:axId val="16733007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33003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NYSERS Asset Composition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'NYSERS SImple'!$E$4</c:f>
              <c:strCache>
                <c:ptCount val="1"/>
                <c:pt idx="0">
                  <c:v>State and Local Government Securities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'NYSERS SImple'!$A$5:$A$34</c:f>
              <c:numCache>
                <c:formatCode>General</c:formatCode>
                <c:ptCount val="30"/>
                <c:pt idx="0">
                  <c:v>1945</c:v>
                </c:pt>
                <c:pt idx="1">
                  <c:v>1946</c:v>
                </c:pt>
                <c:pt idx="2">
                  <c:v>1947</c:v>
                </c:pt>
                <c:pt idx="3">
                  <c:v>1948</c:v>
                </c:pt>
                <c:pt idx="4">
                  <c:v>1949</c:v>
                </c:pt>
                <c:pt idx="5">
                  <c:v>1950</c:v>
                </c:pt>
                <c:pt idx="6">
                  <c:v>1951</c:v>
                </c:pt>
                <c:pt idx="7">
                  <c:v>1952</c:v>
                </c:pt>
                <c:pt idx="8">
                  <c:v>1953</c:v>
                </c:pt>
                <c:pt idx="9">
                  <c:v>1954</c:v>
                </c:pt>
                <c:pt idx="10">
                  <c:v>1955</c:v>
                </c:pt>
                <c:pt idx="11">
                  <c:v>1956</c:v>
                </c:pt>
                <c:pt idx="12">
                  <c:v>1957</c:v>
                </c:pt>
                <c:pt idx="13">
                  <c:v>1958</c:v>
                </c:pt>
                <c:pt idx="14">
                  <c:v>1959</c:v>
                </c:pt>
                <c:pt idx="15">
                  <c:v>1960</c:v>
                </c:pt>
                <c:pt idx="16">
                  <c:v>1961</c:v>
                </c:pt>
                <c:pt idx="17">
                  <c:v>1962</c:v>
                </c:pt>
                <c:pt idx="18">
                  <c:v>1963</c:v>
                </c:pt>
                <c:pt idx="19">
                  <c:v>1964</c:v>
                </c:pt>
                <c:pt idx="20">
                  <c:v>1965</c:v>
                </c:pt>
                <c:pt idx="21">
                  <c:v>1966</c:v>
                </c:pt>
                <c:pt idx="22">
                  <c:v>1967</c:v>
                </c:pt>
                <c:pt idx="23">
                  <c:v>1968</c:v>
                </c:pt>
                <c:pt idx="24">
                  <c:v>1969</c:v>
                </c:pt>
                <c:pt idx="25">
                  <c:v>1970</c:v>
                </c:pt>
                <c:pt idx="26">
                  <c:v>1971</c:v>
                </c:pt>
                <c:pt idx="27">
                  <c:v>1972</c:v>
                </c:pt>
                <c:pt idx="28">
                  <c:v>1973</c:v>
                </c:pt>
                <c:pt idx="29">
                  <c:v>1974</c:v>
                </c:pt>
              </c:numCache>
            </c:numRef>
          </c:cat>
          <c:val>
            <c:numRef>
              <c:f>'NYSERS SImple'!$E$5:$E$34</c:f>
              <c:numCache>
                <c:formatCode>"$"#,##0</c:formatCode>
                <c:ptCount val="30"/>
                <c:pt idx="0">
                  <c:v>123.32459</c:v>
                </c:pt>
                <c:pt idx="1">
                  <c:v>96.640641250000002</c:v>
                </c:pt>
                <c:pt idx="2">
                  <c:v>99.618742499999996</c:v>
                </c:pt>
                <c:pt idx="3">
                  <c:v>122.86014375000001</c:v>
                </c:pt>
                <c:pt idx="4">
                  <c:v>128.90990500000001</c:v>
                </c:pt>
                <c:pt idx="5">
                  <c:v>130.30656625</c:v>
                </c:pt>
                <c:pt idx="6">
                  <c:v>135.9808275</c:v>
                </c:pt>
                <c:pt idx="7">
                  <c:v>130.27423874999999</c:v>
                </c:pt>
                <c:pt idx="8">
                  <c:v>145.13955000000001</c:v>
                </c:pt>
                <c:pt idx="9">
                  <c:v>200.14118999999999</c:v>
                </c:pt>
                <c:pt idx="10">
                  <c:v>264.15427199999999</c:v>
                </c:pt>
                <c:pt idx="11">
                  <c:v>285.483272</c:v>
                </c:pt>
                <c:pt idx="12">
                  <c:v>317.35797200000002</c:v>
                </c:pt>
                <c:pt idx="13">
                  <c:v>354.93557199999998</c:v>
                </c:pt>
                <c:pt idx="14">
                  <c:v>349.873672</c:v>
                </c:pt>
                <c:pt idx="15">
                  <c:v>330.70377200000001</c:v>
                </c:pt>
                <c:pt idx="16">
                  <c:v>318.47437200000002</c:v>
                </c:pt>
                <c:pt idx="17">
                  <c:v>305.68747200000001</c:v>
                </c:pt>
                <c:pt idx="18">
                  <c:v>240.897572</c:v>
                </c:pt>
                <c:pt idx="19">
                  <c:v>160.29517200000001</c:v>
                </c:pt>
                <c:pt idx="20">
                  <c:v>64.009022000000002</c:v>
                </c:pt>
                <c:pt idx="21">
                  <c:v>41.873522000000001</c:v>
                </c:pt>
                <c:pt idx="22">
                  <c:v>41.400022</c:v>
                </c:pt>
                <c:pt idx="23">
                  <c:v>40.533521999999998</c:v>
                </c:pt>
                <c:pt idx="24">
                  <c:v>40.135522000000002</c:v>
                </c:pt>
                <c:pt idx="25">
                  <c:v>39.746521999999999</c:v>
                </c:pt>
                <c:pt idx="26">
                  <c:v>39.288522</c:v>
                </c:pt>
                <c:pt idx="27">
                  <c:v>38.748522000000001</c:v>
                </c:pt>
                <c:pt idx="28">
                  <c:v>38.465522</c:v>
                </c:pt>
                <c:pt idx="29">
                  <c:v>37.835521999999997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6C-4BA1-B763-7E980569C23A}"/>
            </c:ext>
          </c:extLst>
        </c:ser>
        <c:ser>
          <c:idx val="1"/>
          <c:order val="1"/>
          <c:tx>
            <c:strRef>
              <c:f>'NYSERS SImple'!$F$4</c:f>
              <c:strCache>
                <c:ptCount val="1"/>
                <c:pt idx="0">
                  <c:v>Federal Securities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'NYSERS SImple'!$A$5:$A$34</c:f>
              <c:numCache>
                <c:formatCode>General</c:formatCode>
                <c:ptCount val="30"/>
                <c:pt idx="0">
                  <c:v>1945</c:v>
                </c:pt>
                <c:pt idx="1">
                  <c:v>1946</c:v>
                </c:pt>
                <c:pt idx="2">
                  <c:v>1947</c:v>
                </c:pt>
                <c:pt idx="3">
                  <c:v>1948</c:v>
                </c:pt>
                <c:pt idx="4">
                  <c:v>1949</c:v>
                </c:pt>
                <c:pt idx="5">
                  <c:v>1950</c:v>
                </c:pt>
                <c:pt idx="6">
                  <c:v>1951</c:v>
                </c:pt>
                <c:pt idx="7">
                  <c:v>1952</c:v>
                </c:pt>
                <c:pt idx="8">
                  <c:v>1953</c:v>
                </c:pt>
                <c:pt idx="9">
                  <c:v>1954</c:v>
                </c:pt>
                <c:pt idx="10">
                  <c:v>1955</c:v>
                </c:pt>
                <c:pt idx="11">
                  <c:v>1956</c:v>
                </c:pt>
                <c:pt idx="12">
                  <c:v>1957</c:v>
                </c:pt>
                <c:pt idx="13">
                  <c:v>1958</c:v>
                </c:pt>
                <c:pt idx="14">
                  <c:v>1959</c:v>
                </c:pt>
                <c:pt idx="15">
                  <c:v>1960</c:v>
                </c:pt>
                <c:pt idx="16">
                  <c:v>1961</c:v>
                </c:pt>
                <c:pt idx="17">
                  <c:v>1962</c:v>
                </c:pt>
                <c:pt idx="18">
                  <c:v>1963</c:v>
                </c:pt>
                <c:pt idx="19">
                  <c:v>1964</c:v>
                </c:pt>
                <c:pt idx="20">
                  <c:v>1965</c:v>
                </c:pt>
                <c:pt idx="21">
                  <c:v>1966</c:v>
                </c:pt>
                <c:pt idx="22">
                  <c:v>1967</c:v>
                </c:pt>
                <c:pt idx="23">
                  <c:v>1968</c:v>
                </c:pt>
                <c:pt idx="24">
                  <c:v>1969</c:v>
                </c:pt>
                <c:pt idx="25">
                  <c:v>1970</c:v>
                </c:pt>
                <c:pt idx="26">
                  <c:v>1971</c:v>
                </c:pt>
                <c:pt idx="27">
                  <c:v>1972</c:v>
                </c:pt>
                <c:pt idx="28">
                  <c:v>1973</c:v>
                </c:pt>
                <c:pt idx="29">
                  <c:v>1974</c:v>
                </c:pt>
              </c:numCache>
            </c:numRef>
          </c:cat>
          <c:val>
            <c:numRef>
              <c:f>'NYSERS SImple'!$F$5:$F$34</c:f>
              <c:numCache>
                <c:formatCode>"$"#,##0</c:formatCode>
                <c:ptCount val="30"/>
                <c:pt idx="0">
                  <c:v>78.543049999999994</c:v>
                </c:pt>
                <c:pt idx="1">
                  <c:v>142.23605000000001</c:v>
                </c:pt>
                <c:pt idx="2">
                  <c:v>164.05805000000001</c:v>
                </c:pt>
                <c:pt idx="3">
                  <c:v>174.21404999999999</c:v>
                </c:pt>
                <c:pt idx="4">
                  <c:v>205.71205</c:v>
                </c:pt>
                <c:pt idx="5">
                  <c:v>227.16605000000001</c:v>
                </c:pt>
                <c:pt idx="6">
                  <c:v>232.33904999999999</c:v>
                </c:pt>
                <c:pt idx="7">
                  <c:v>274.27805000000001</c:v>
                </c:pt>
                <c:pt idx="8">
                  <c:v>278.75405000000001</c:v>
                </c:pt>
                <c:pt idx="9">
                  <c:v>278.83445</c:v>
                </c:pt>
                <c:pt idx="10">
                  <c:v>318.00605000000002</c:v>
                </c:pt>
                <c:pt idx="11">
                  <c:v>389.67104999999998</c:v>
                </c:pt>
                <c:pt idx="12">
                  <c:v>467.23894999999999</c:v>
                </c:pt>
                <c:pt idx="13">
                  <c:v>514.71394999999995</c:v>
                </c:pt>
                <c:pt idx="14">
                  <c:v>548.40395000000001</c:v>
                </c:pt>
                <c:pt idx="15">
                  <c:v>580.59389999999996</c:v>
                </c:pt>
                <c:pt idx="16">
                  <c:v>535.11429999999996</c:v>
                </c:pt>
                <c:pt idx="17">
                  <c:v>527.21105</c:v>
                </c:pt>
                <c:pt idx="18">
                  <c:v>611.18034999999998</c:v>
                </c:pt>
                <c:pt idx="19">
                  <c:v>723.41084999999998</c:v>
                </c:pt>
                <c:pt idx="20">
                  <c:v>856.10985000000005</c:v>
                </c:pt>
                <c:pt idx="21">
                  <c:v>830.82799999999997</c:v>
                </c:pt>
                <c:pt idx="22">
                  <c:v>631.77300000000002</c:v>
                </c:pt>
                <c:pt idx="23">
                  <c:v>604.64</c:v>
                </c:pt>
                <c:pt idx="24">
                  <c:v>761.46900000000005</c:v>
                </c:pt>
                <c:pt idx="25">
                  <c:v>508.26799999999997</c:v>
                </c:pt>
                <c:pt idx="26">
                  <c:v>730.37746700000002</c:v>
                </c:pt>
                <c:pt idx="27">
                  <c:v>760.269811</c:v>
                </c:pt>
                <c:pt idx="28">
                  <c:v>850.35953800000004</c:v>
                </c:pt>
                <c:pt idx="29">
                  <c:v>557.82918500000005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6C-4BA1-B763-7E980569C23A}"/>
            </c:ext>
          </c:extLst>
        </c:ser>
        <c:ser>
          <c:idx val="2"/>
          <c:order val="2"/>
          <c:tx>
            <c:strRef>
              <c:f>'NYSERS SImple'!$G$4</c:f>
              <c:strCache>
                <c:ptCount val="1"/>
                <c:pt idx="0">
                  <c:v>Other Securities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'NYSERS SImple'!$A$5:$A$34</c:f>
              <c:numCache>
                <c:formatCode>General</c:formatCode>
                <c:ptCount val="30"/>
                <c:pt idx="0">
                  <c:v>1945</c:v>
                </c:pt>
                <c:pt idx="1">
                  <c:v>1946</c:v>
                </c:pt>
                <c:pt idx="2">
                  <c:v>1947</c:v>
                </c:pt>
                <c:pt idx="3">
                  <c:v>1948</c:v>
                </c:pt>
                <c:pt idx="4">
                  <c:v>1949</c:v>
                </c:pt>
                <c:pt idx="5">
                  <c:v>1950</c:v>
                </c:pt>
                <c:pt idx="6">
                  <c:v>1951</c:v>
                </c:pt>
                <c:pt idx="7">
                  <c:v>1952</c:v>
                </c:pt>
                <c:pt idx="8">
                  <c:v>1953</c:v>
                </c:pt>
                <c:pt idx="9">
                  <c:v>1954</c:v>
                </c:pt>
                <c:pt idx="10">
                  <c:v>1955</c:v>
                </c:pt>
                <c:pt idx="11">
                  <c:v>1956</c:v>
                </c:pt>
                <c:pt idx="12">
                  <c:v>1957</c:v>
                </c:pt>
                <c:pt idx="13">
                  <c:v>1958</c:v>
                </c:pt>
                <c:pt idx="14">
                  <c:v>1959</c:v>
                </c:pt>
                <c:pt idx="15">
                  <c:v>1960</c:v>
                </c:pt>
                <c:pt idx="16">
                  <c:v>1961</c:v>
                </c:pt>
                <c:pt idx="17">
                  <c:v>1962</c:v>
                </c:pt>
                <c:pt idx="18">
                  <c:v>1963</c:v>
                </c:pt>
                <c:pt idx="19">
                  <c:v>1964</c:v>
                </c:pt>
                <c:pt idx="20">
                  <c:v>1965</c:v>
                </c:pt>
                <c:pt idx="21">
                  <c:v>1966</c:v>
                </c:pt>
                <c:pt idx="22">
                  <c:v>1967</c:v>
                </c:pt>
                <c:pt idx="23">
                  <c:v>1968</c:v>
                </c:pt>
                <c:pt idx="24">
                  <c:v>1969</c:v>
                </c:pt>
                <c:pt idx="25">
                  <c:v>1970</c:v>
                </c:pt>
                <c:pt idx="26">
                  <c:v>1971</c:v>
                </c:pt>
                <c:pt idx="27">
                  <c:v>1972</c:v>
                </c:pt>
                <c:pt idx="28">
                  <c:v>1973</c:v>
                </c:pt>
                <c:pt idx="29">
                  <c:v>1974</c:v>
                </c:pt>
              </c:numCache>
            </c:numRef>
          </c:cat>
          <c:val>
            <c:numRef>
              <c:f>'NYSERS SImple'!$G$5:$G$34</c:f>
              <c:numCache>
                <c:formatCode>"$"#,##0</c:formatCode>
                <c:ptCount val="30"/>
                <c:pt idx="0">
                  <c:v>20.252531690000001</c:v>
                </c:pt>
                <c:pt idx="1">
                  <c:v>18.349266839999999</c:v>
                </c:pt>
                <c:pt idx="2">
                  <c:v>12.815811609999999</c:v>
                </c:pt>
                <c:pt idx="3">
                  <c:v>11.510439810000001</c:v>
                </c:pt>
                <c:pt idx="4">
                  <c:v>13.305397189999999</c:v>
                </c:pt>
                <c:pt idx="5">
                  <c:v>48.022880919999999</c:v>
                </c:pt>
                <c:pt idx="6">
                  <c:v>102.42432795000001</c:v>
                </c:pt>
                <c:pt idx="7">
                  <c:v>135.74463627</c:v>
                </c:pt>
                <c:pt idx="8">
                  <c:v>170.93540143000001</c:v>
                </c:pt>
                <c:pt idx="9">
                  <c:v>204.56474305</c:v>
                </c:pt>
                <c:pt idx="10">
                  <c:v>192.26500596</c:v>
                </c:pt>
                <c:pt idx="11">
                  <c:v>201.29772278000002</c:v>
                </c:pt>
                <c:pt idx="12">
                  <c:v>202.41547348</c:v>
                </c:pt>
                <c:pt idx="13">
                  <c:v>228.92488945999997</c:v>
                </c:pt>
                <c:pt idx="14">
                  <c:v>335.65830739999996</c:v>
                </c:pt>
                <c:pt idx="15">
                  <c:v>474.28808297</c:v>
                </c:pt>
                <c:pt idx="16">
                  <c:v>660.87782942999991</c:v>
                </c:pt>
                <c:pt idx="17">
                  <c:v>820.44381344999999</c:v>
                </c:pt>
                <c:pt idx="18">
                  <c:v>967.63317935999999</c:v>
                </c:pt>
                <c:pt idx="19">
                  <c:v>1127.73736624</c:v>
                </c:pt>
                <c:pt idx="20">
                  <c:v>1298.7645219999999</c:v>
                </c:pt>
                <c:pt idx="21">
                  <c:v>1557.6349130000001</c:v>
                </c:pt>
                <c:pt idx="22">
                  <c:v>2009.52406</c:v>
                </c:pt>
                <c:pt idx="23">
                  <c:v>2324.7402310000002</c:v>
                </c:pt>
                <c:pt idx="24">
                  <c:v>2475.3335649999999</c:v>
                </c:pt>
                <c:pt idx="25">
                  <c:v>3058.4525610000001</c:v>
                </c:pt>
                <c:pt idx="26">
                  <c:v>3190.9637309999998</c:v>
                </c:pt>
                <c:pt idx="27">
                  <c:v>3651.3525239999999</c:v>
                </c:pt>
                <c:pt idx="28">
                  <c:v>4111.4209220000002</c:v>
                </c:pt>
                <c:pt idx="29">
                  <c:v>4964.5742570000002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6C-4BA1-B763-7E980569C2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73300367"/>
        <c:axId val="1673300783"/>
      </c:barChart>
      <c:catAx>
        <c:axId val="16733003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3300783"/>
        <c:crosses val="autoZero"/>
        <c:auto val="1"/>
        <c:lblAlgn val="ctr"/>
        <c:lblOffset val="100"/>
        <c:noMultiLvlLbl val="0"/>
      </c:catAx>
      <c:valAx>
        <c:axId val="16733007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33003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State and Local Pension Assets</a:t>
            </a:r>
            <a:r>
              <a:rPr lang="en-US" baseline="0"/>
              <a:t> ($ millions)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'US Census All S&amp;L Simple'!$F$4</c:f>
              <c:strCache>
                <c:ptCount val="1"/>
                <c:pt idx="0">
                  <c:v>State and Local Government Securities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'US Census All S&amp;L Simple'!$B$5:$B$21</c:f>
              <c:numCache>
                <c:formatCode>General</c:formatCode>
                <c:ptCount val="17"/>
                <c:pt idx="0">
                  <c:v>1957</c:v>
                </c:pt>
                <c:pt idx="1">
                  <c:v>1959</c:v>
                </c:pt>
                <c:pt idx="2">
                  <c:v>1960</c:v>
                </c:pt>
                <c:pt idx="3">
                  <c:v>1961</c:v>
                </c:pt>
                <c:pt idx="4">
                  <c:v>1962</c:v>
                </c:pt>
                <c:pt idx="5">
                  <c:v>1963</c:v>
                </c:pt>
                <c:pt idx="6">
                  <c:v>1964</c:v>
                </c:pt>
                <c:pt idx="7">
                  <c:v>1965</c:v>
                </c:pt>
                <c:pt idx="8">
                  <c:v>1966</c:v>
                </c:pt>
                <c:pt idx="9">
                  <c:v>1967</c:v>
                </c:pt>
                <c:pt idx="10">
                  <c:v>1968</c:v>
                </c:pt>
                <c:pt idx="11">
                  <c:v>1969</c:v>
                </c:pt>
                <c:pt idx="12">
                  <c:v>1970</c:v>
                </c:pt>
                <c:pt idx="13">
                  <c:v>1971</c:v>
                </c:pt>
                <c:pt idx="14">
                  <c:v>1972</c:v>
                </c:pt>
                <c:pt idx="15">
                  <c:v>1973</c:v>
                </c:pt>
                <c:pt idx="16">
                  <c:v>1974</c:v>
                </c:pt>
              </c:numCache>
            </c:numRef>
          </c:cat>
          <c:val>
            <c:numRef>
              <c:f>'US Census All S&amp;L Simple'!$F$5:$F$21</c:f>
              <c:numCache>
                <c:formatCode>#,##0</c:formatCode>
                <c:ptCount val="17"/>
                <c:pt idx="0">
                  <c:v>3307.5859999999998</c:v>
                </c:pt>
                <c:pt idx="1">
                  <c:v>4127.6710000000003</c:v>
                </c:pt>
                <c:pt idx="2">
                  <c:v>4338.32</c:v>
                </c:pt>
                <c:pt idx="3">
                  <c:v>4402.9859999999999</c:v>
                </c:pt>
                <c:pt idx="4">
                  <c:v>4048.252</c:v>
                </c:pt>
                <c:pt idx="5">
                  <c:v>3507.12</c:v>
                </c:pt>
                <c:pt idx="6">
                  <c:v>3081.7249999999999</c:v>
                </c:pt>
                <c:pt idx="7">
                  <c:v>2744.5149999999999</c:v>
                </c:pt>
                <c:pt idx="8">
                  <c:v>2531.6590000000001</c:v>
                </c:pt>
                <c:pt idx="9">
                  <c:v>2442.2220000000002</c:v>
                </c:pt>
                <c:pt idx="10">
                  <c:v>2371.9050000000002</c:v>
                </c:pt>
                <c:pt idx="11">
                  <c:v>2368.1570000000002</c:v>
                </c:pt>
                <c:pt idx="12">
                  <c:v>2158.9839999999999</c:v>
                </c:pt>
                <c:pt idx="13">
                  <c:v>2042.422</c:v>
                </c:pt>
                <c:pt idx="14">
                  <c:v>2421.5639999999999</c:v>
                </c:pt>
                <c:pt idx="15">
                  <c:v>1526.202</c:v>
                </c:pt>
                <c:pt idx="16">
                  <c:v>1444.248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0F-43AB-AD28-0F48A3FF430D}"/>
            </c:ext>
          </c:extLst>
        </c:ser>
        <c:ser>
          <c:idx val="1"/>
          <c:order val="1"/>
          <c:tx>
            <c:strRef>
              <c:f>'US Census All S&amp;L Simple'!$G$4</c:f>
              <c:strCache>
                <c:ptCount val="1"/>
                <c:pt idx="0">
                  <c:v>Federal Securities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'US Census All S&amp;L Simple'!$B$5:$B$21</c:f>
              <c:numCache>
                <c:formatCode>General</c:formatCode>
                <c:ptCount val="17"/>
                <c:pt idx="0">
                  <c:v>1957</c:v>
                </c:pt>
                <c:pt idx="1">
                  <c:v>1959</c:v>
                </c:pt>
                <c:pt idx="2">
                  <c:v>1960</c:v>
                </c:pt>
                <c:pt idx="3">
                  <c:v>1961</c:v>
                </c:pt>
                <c:pt idx="4">
                  <c:v>1962</c:v>
                </c:pt>
                <c:pt idx="5">
                  <c:v>1963</c:v>
                </c:pt>
                <c:pt idx="6">
                  <c:v>1964</c:v>
                </c:pt>
                <c:pt idx="7">
                  <c:v>1965</c:v>
                </c:pt>
                <c:pt idx="8">
                  <c:v>1966</c:v>
                </c:pt>
                <c:pt idx="9">
                  <c:v>1967</c:v>
                </c:pt>
                <c:pt idx="10">
                  <c:v>1968</c:v>
                </c:pt>
                <c:pt idx="11">
                  <c:v>1969</c:v>
                </c:pt>
                <c:pt idx="12">
                  <c:v>1970</c:v>
                </c:pt>
                <c:pt idx="13">
                  <c:v>1971</c:v>
                </c:pt>
                <c:pt idx="14">
                  <c:v>1972</c:v>
                </c:pt>
                <c:pt idx="15">
                  <c:v>1973</c:v>
                </c:pt>
                <c:pt idx="16">
                  <c:v>1974</c:v>
                </c:pt>
              </c:numCache>
            </c:numRef>
          </c:cat>
          <c:val>
            <c:numRef>
              <c:f>'US Census All S&amp;L Simple'!$G$5:$G$21</c:f>
              <c:numCache>
                <c:formatCode>#,##0</c:formatCode>
                <c:ptCount val="17"/>
                <c:pt idx="0">
                  <c:v>5115.1570000000002</c:v>
                </c:pt>
                <c:pt idx="1">
                  <c:v>5545.2560000000003</c:v>
                </c:pt>
                <c:pt idx="2">
                  <c:v>5954.4350000000004</c:v>
                </c:pt>
                <c:pt idx="3">
                  <c:v>5990.2619999999997</c:v>
                </c:pt>
                <c:pt idx="4">
                  <c:v>6111.692</c:v>
                </c:pt>
                <c:pt idx="5">
                  <c:v>6507.3419999999996</c:v>
                </c:pt>
                <c:pt idx="6">
                  <c:v>6954.3469999999998</c:v>
                </c:pt>
                <c:pt idx="7">
                  <c:v>7396.7110000000002</c:v>
                </c:pt>
                <c:pt idx="8">
                  <c:v>7046.2569999999996</c:v>
                </c:pt>
                <c:pt idx="9">
                  <c:v>6649.643</c:v>
                </c:pt>
                <c:pt idx="10">
                  <c:v>6126.6469999999999</c:v>
                </c:pt>
                <c:pt idx="11">
                  <c:v>5815.0150000000003</c:v>
                </c:pt>
                <c:pt idx="12">
                  <c:v>5178.95</c:v>
                </c:pt>
                <c:pt idx="13">
                  <c:v>4462.058</c:v>
                </c:pt>
                <c:pt idx="14">
                  <c:v>3720.848</c:v>
                </c:pt>
                <c:pt idx="15">
                  <c:v>3458.5839999999998</c:v>
                </c:pt>
                <c:pt idx="16">
                  <c:v>5326.5519999999997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0F-43AB-AD28-0F48A3FF430D}"/>
            </c:ext>
          </c:extLst>
        </c:ser>
        <c:ser>
          <c:idx val="2"/>
          <c:order val="2"/>
          <c:tx>
            <c:strRef>
              <c:f>'US Census All S&amp;L Simple'!$H$4</c:f>
              <c:strCache>
                <c:ptCount val="1"/>
                <c:pt idx="0">
                  <c:v>Corporate Bonds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'US Census All S&amp;L Simple'!$B$5:$B$21</c:f>
              <c:numCache>
                <c:formatCode>General</c:formatCode>
                <c:ptCount val="17"/>
                <c:pt idx="0">
                  <c:v>1957</c:v>
                </c:pt>
                <c:pt idx="1">
                  <c:v>1959</c:v>
                </c:pt>
                <c:pt idx="2">
                  <c:v>1960</c:v>
                </c:pt>
                <c:pt idx="3">
                  <c:v>1961</c:v>
                </c:pt>
                <c:pt idx="4">
                  <c:v>1962</c:v>
                </c:pt>
                <c:pt idx="5">
                  <c:v>1963</c:v>
                </c:pt>
                <c:pt idx="6">
                  <c:v>1964</c:v>
                </c:pt>
                <c:pt idx="7">
                  <c:v>1965</c:v>
                </c:pt>
                <c:pt idx="8">
                  <c:v>1966</c:v>
                </c:pt>
                <c:pt idx="9">
                  <c:v>1967</c:v>
                </c:pt>
                <c:pt idx="10">
                  <c:v>1968</c:v>
                </c:pt>
                <c:pt idx="11">
                  <c:v>1969</c:v>
                </c:pt>
                <c:pt idx="12">
                  <c:v>1970</c:v>
                </c:pt>
                <c:pt idx="13">
                  <c:v>1971</c:v>
                </c:pt>
                <c:pt idx="14">
                  <c:v>1972</c:v>
                </c:pt>
                <c:pt idx="15">
                  <c:v>1973</c:v>
                </c:pt>
                <c:pt idx="16">
                  <c:v>1974</c:v>
                </c:pt>
              </c:numCache>
            </c:numRef>
          </c:cat>
          <c:val>
            <c:numRef>
              <c:f>'US Census All S&amp;L Simple'!$H$5:$H$21</c:f>
              <c:numCache>
                <c:formatCode>#,##0</c:formatCode>
                <c:ptCount val="17"/>
                <c:pt idx="0">
                  <c:v>3379.9290000000001</c:v>
                </c:pt>
                <c:pt idx="1">
                  <c:v>5003.01</c:v>
                </c:pt>
                <c:pt idx="2">
                  <c:v>6098.5159999999996</c:v>
                </c:pt>
                <c:pt idx="3">
                  <c:v>7467.7389999999996</c:v>
                </c:pt>
                <c:pt idx="4">
                  <c:v>9523</c:v>
                </c:pt>
                <c:pt idx="5">
                  <c:v>11487.800999999999</c:v>
                </c:pt>
                <c:pt idx="6">
                  <c:v>13346</c:v>
                </c:pt>
                <c:pt idx="7">
                  <c:v>15098</c:v>
                </c:pt>
                <c:pt idx="8">
                  <c:v>17650</c:v>
                </c:pt>
                <c:pt idx="9">
                  <c:v>20276</c:v>
                </c:pt>
                <c:pt idx="10">
                  <c:v>23316</c:v>
                </c:pt>
                <c:pt idx="11">
                  <c:v>26718</c:v>
                </c:pt>
                <c:pt idx="12">
                  <c:v>30132</c:v>
                </c:pt>
                <c:pt idx="13">
                  <c:v>34641</c:v>
                </c:pt>
                <c:pt idx="14">
                  <c:v>37915</c:v>
                </c:pt>
                <c:pt idx="15">
                  <c:v>43333</c:v>
                </c:pt>
                <c:pt idx="16">
                  <c:v>47363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B0F-43AB-AD28-0F48A3FF430D}"/>
            </c:ext>
          </c:extLst>
        </c:ser>
        <c:ser>
          <c:idx val="3"/>
          <c:order val="3"/>
          <c:tx>
            <c:strRef>
              <c:f>'US Census All S&amp;L Simple'!$I$4</c:f>
              <c:strCache>
                <c:ptCount val="1"/>
                <c:pt idx="0">
                  <c:v>Corporate Stocks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'US Census All S&amp;L Simple'!$B$5:$B$21</c:f>
              <c:numCache>
                <c:formatCode>General</c:formatCode>
                <c:ptCount val="17"/>
                <c:pt idx="0">
                  <c:v>1957</c:v>
                </c:pt>
                <c:pt idx="1">
                  <c:v>1959</c:v>
                </c:pt>
                <c:pt idx="2">
                  <c:v>1960</c:v>
                </c:pt>
                <c:pt idx="3">
                  <c:v>1961</c:v>
                </c:pt>
                <c:pt idx="4">
                  <c:v>1962</c:v>
                </c:pt>
                <c:pt idx="5">
                  <c:v>1963</c:v>
                </c:pt>
                <c:pt idx="6">
                  <c:v>1964</c:v>
                </c:pt>
                <c:pt idx="7">
                  <c:v>1965</c:v>
                </c:pt>
                <c:pt idx="8">
                  <c:v>1966</c:v>
                </c:pt>
                <c:pt idx="9">
                  <c:v>1967</c:v>
                </c:pt>
                <c:pt idx="10">
                  <c:v>1968</c:v>
                </c:pt>
                <c:pt idx="11">
                  <c:v>1969</c:v>
                </c:pt>
                <c:pt idx="12">
                  <c:v>1970</c:v>
                </c:pt>
                <c:pt idx="13">
                  <c:v>1971</c:v>
                </c:pt>
                <c:pt idx="14">
                  <c:v>1972</c:v>
                </c:pt>
                <c:pt idx="15">
                  <c:v>1973</c:v>
                </c:pt>
                <c:pt idx="16">
                  <c:v>1974</c:v>
                </c:pt>
              </c:numCache>
            </c:numRef>
          </c:cat>
          <c:val>
            <c:numRef>
              <c:f>'US Census All S&amp;L Simple'!$I$5:$I$21</c:f>
              <c:numCache>
                <c:formatCode>#,##0</c:formatCode>
                <c:ptCount val="17"/>
                <c:pt idx="0">
                  <c:v>182.98099999999999</c:v>
                </c:pt>
                <c:pt idx="1">
                  <c:v>301.221</c:v>
                </c:pt>
                <c:pt idx="2">
                  <c:v>393.25</c:v>
                </c:pt>
                <c:pt idx="3">
                  <c:v>482.7</c:v>
                </c:pt>
                <c:pt idx="4">
                  <c:v>694</c:v>
                </c:pt>
                <c:pt idx="5">
                  <c:v>879.51499999999999</c:v>
                </c:pt>
                <c:pt idx="6">
                  <c:v>1123</c:v>
                </c:pt>
                <c:pt idx="7">
                  <c:v>1422</c:v>
                </c:pt>
                <c:pt idx="8">
                  <c:v>1837</c:v>
                </c:pt>
                <c:pt idx="9">
                  <c:v>2391</c:v>
                </c:pt>
                <c:pt idx="10">
                  <c:v>3311</c:v>
                </c:pt>
                <c:pt idx="11">
                  <c:v>4921</c:v>
                </c:pt>
                <c:pt idx="12">
                  <c:v>6912</c:v>
                </c:pt>
                <c:pt idx="13">
                  <c:v>9469</c:v>
                </c:pt>
                <c:pt idx="14">
                  <c:v>12616</c:v>
                </c:pt>
                <c:pt idx="15">
                  <c:v>17063</c:v>
                </c:pt>
                <c:pt idx="16">
                  <c:v>19560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B0F-43AB-AD28-0F48A3FF430D}"/>
            </c:ext>
          </c:extLst>
        </c:ser>
        <c:ser>
          <c:idx val="4"/>
          <c:order val="4"/>
          <c:tx>
            <c:strRef>
              <c:f>'US Census All S&amp;L Simple'!$J$4</c:f>
              <c:strCache>
                <c:ptCount val="1"/>
                <c:pt idx="0">
                  <c:v>Other Investments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'US Census All S&amp;L Simple'!$B$5:$B$21</c:f>
              <c:numCache>
                <c:formatCode>General</c:formatCode>
                <c:ptCount val="17"/>
                <c:pt idx="0">
                  <c:v>1957</c:v>
                </c:pt>
                <c:pt idx="1">
                  <c:v>1959</c:v>
                </c:pt>
                <c:pt idx="2">
                  <c:v>1960</c:v>
                </c:pt>
                <c:pt idx="3">
                  <c:v>1961</c:v>
                </c:pt>
                <c:pt idx="4">
                  <c:v>1962</c:v>
                </c:pt>
                <c:pt idx="5">
                  <c:v>1963</c:v>
                </c:pt>
                <c:pt idx="6">
                  <c:v>1964</c:v>
                </c:pt>
                <c:pt idx="7">
                  <c:v>1965</c:v>
                </c:pt>
                <c:pt idx="8">
                  <c:v>1966</c:v>
                </c:pt>
                <c:pt idx="9">
                  <c:v>1967</c:v>
                </c:pt>
                <c:pt idx="10">
                  <c:v>1968</c:v>
                </c:pt>
                <c:pt idx="11">
                  <c:v>1969</c:v>
                </c:pt>
                <c:pt idx="12">
                  <c:v>1970</c:v>
                </c:pt>
                <c:pt idx="13">
                  <c:v>1971</c:v>
                </c:pt>
                <c:pt idx="14">
                  <c:v>1972</c:v>
                </c:pt>
                <c:pt idx="15">
                  <c:v>1973</c:v>
                </c:pt>
                <c:pt idx="16">
                  <c:v>1974</c:v>
                </c:pt>
              </c:numCache>
            </c:numRef>
          </c:cat>
          <c:val>
            <c:numRef>
              <c:f>'US Census All S&amp;L Simple'!$J$5:$J$21</c:f>
              <c:numCache>
                <c:formatCode>#,##0</c:formatCode>
                <c:ptCount val="17"/>
                <c:pt idx="0">
                  <c:v>635.68299999999999</c:v>
                </c:pt>
                <c:pt idx="1">
                  <c:v>1137.056</c:v>
                </c:pt>
                <c:pt idx="2">
                  <c:v>1532.866</c:v>
                </c:pt>
                <c:pt idx="3">
                  <c:v>2263.4949999999999</c:v>
                </c:pt>
                <c:pt idx="4">
                  <c:v>2630</c:v>
                </c:pt>
                <c:pt idx="5">
                  <c:v>3225.107</c:v>
                </c:pt>
                <c:pt idx="6">
                  <c:v>3834</c:v>
                </c:pt>
                <c:pt idx="7">
                  <c:v>4830</c:v>
                </c:pt>
                <c:pt idx="8">
                  <c:v>5881</c:v>
                </c:pt>
                <c:pt idx="9">
                  <c:v>7074.1779999999999</c:v>
                </c:pt>
                <c:pt idx="10">
                  <c:v>8055</c:v>
                </c:pt>
                <c:pt idx="11">
                  <c:v>8594</c:v>
                </c:pt>
                <c:pt idx="12">
                  <c:v>10020</c:v>
                </c:pt>
                <c:pt idx="13">
                  <c:v>10395</c:v>
                </c:pt>
                <c:pt idx="14">
                  <c:v>11296.151</c:v>
                </c:pt>
                <c:pt idx="15">
                  <c:v>11945</c:v>
                </c:pt>
                <c:pt idx="16">
                  <c:v>12305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B0F-43AB-AD28-0F48A3FF43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658959"/>
        <c:axId val="32654383"/>
      </c:barChart>
      <c:catAx>
        <c:axId val="326589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654383"/>
        <c:crosses val="autoZero"/>
        <c:auto val="1"/>
        <c:lblAlgn val="ctr"/>
        <c:lblOffset val="100"/>
        <c:noMultiLvlLbl val="0"/>
      </c:catAx>
      <c:valAx>
        <c:axId val="326543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6589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Composition of All State and Local Pensions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'US Census All S&amp;L Simple'!$F$4</c:f>
              <c:strCache>
                <c:ptCount val="1"/>
                <c:pt idx="0">
                  <c:v>State and Local Government Securities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'US Census All S&amp;L Simple'!$B$5:$B$21</c:f>
              <c:numCache>
                <c:formatCode>General</c:formatCode>
                <c:ptCount val="17"/>
                <c:pt idx="0">
                  <c:v>1957</c:v>
                </c:pt>
                <c:pt idx="1">
                  <c:v>1959</c:v>
                </c:pt>
                <c:pt idx="2">
                  <c:v>1960</c:v>
                </c:pt>
                <c:pt idx="3">
                  <c:v>1961</c:v>
                </c:pt>
                <c:pt idx="4">
                  <c:v>1962</c:v>
                </c:pt>
                <c:pt idx="5">
                  <c:v>1963</c:v>
                </c:pt>
                <c:pt idx="6">
                  <c:v>1964</c:v>
                </c:pt>
                <c:pt idx="7">
                  <c:v>1965</c:v>
                </c:pt>
                <c:pt idx="8">
                  <c:v>1966</c:v>
                </c:pt>
                <c:pt idx="9">
                  <c:v>1967</c:v>
                </c:pt>
                <c:pt idx="10">
                  <c:v>1968</c:v>
                </c:pt>
                <c:pt idx="11">
                  <c:v>1969</c:v>
                </c:pt>
                <c:pt idx="12">
                  <c:v>1970</c:v>
                </c:pt>
                <c:pt idx="13">
                  <c:v>1971</c:v>
                </c:pt>
                <c:pt idx="14">
                  <c:v>1972</c:v>
                </c:pt>
                <c:pt idx="15">
                  <c:v>1973</c:v>
                </c:pt>
                <c:pt idx="16">
                  <c:v>1974</c:v>
                </c:pt>
              </c:numCache>
            </c:numRef>
          </c:cat>
          <c:val>
            <c:numRef>
              <c:f>'US Census All S&amp;L Simple'!$F$5:$F$21</c:f>
              <c:numCache>
                <c:formatCode>#,##0</c:formatCode>
                <c:ptCount val="17"/>
                <c:pt idx="0">
                  <c:v>3307.5859999999998</c:v>
                </c:pt>
                <c:pt idx="1">
                  <c:v>4127.6710000000003</c:v>
                </c:pt>
                <c:pt idx="2">
                  <c:v>4338.32</c:v>
                </c:pt>
                <c:pt idx="3">
                  <c:v>4402.9859999999999</c:v>
                </c:pt>
                <c:pt idx="4">
                  <c:v>4048.252</c:v>
                </c:pt>
                <c:pt idx="5">
                  <c:v>3507.12</c:v>
                </c:pt>
                <c:pt idx="6">
                  <c:v>3081.7249999999999</c:v>
                </c:pt>
                <c:pt idx="7">
                  <c:v>2744.5149999999999</c:v>
                </c:pt>
                <c:pt idx="8">
                  <c:v>2531.6590000000001</c:v>
                </c:pt>
                <c:pt idx="9">
                  <c:v>2442.2220000000002</c:v>
                </c:pt>
                <c:pt idx="10">
                  <c:v>2371.9050000000002</c:v>
                </c:pt>
                <c:pt idx="11">
                  <c:v>2368.1570000000002</c:v>
                </c:pt>
                <c:pt idx="12">
                  <c:v>2158.9839999999999</c:v>
                </c:pt>
                <c:pt idx="13">
                  <c:v>2042.422</c:v>
                </c:pt>
                <c:pt idx="14">
                  <c:v>2421.5639999999999</c:v>
                </c:pt>
                <c:pt idx="15">
                  <c:v>1526.202</c:v>
                </c:pt>
                <c:pt idx="16">
                  <c:v>1444.248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D1-4F24-BA30-92205322E52B}"/>
            </c:ext>
          </c:extLst>
        </c:ser>
        <c:ser>
          <c:idx val="1"/>
          <c:order val="1"/>
          <c:tx>
            <c:strRef>
              <c:f>'US Census All S&amp;L Simple'!$G$4</c:f>
              <c:strCache>
                <c:ptCount val="1"/>
                <c:pt idx="0">
                  <c:v>Federal Securities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'US Census All S&amp;L Simple'!$B$5:$B$21</c:f>
              <c:numCache>
                <c:formatCode>General</c:formatCode>
                <c:ptCount val="17"/>
                <c:pt idx="0">
                  <c:v>1957</c:v>
                </c:pt>
                <c:pt idx="1">
                  <c:v>1959</c:v>
                </c:pt>
                <c:pt idx="2">
                  <c:v>1960</c:v>
                </c:pt>
                <c:pt idx="3">
                  <c:v>1961</c:v>
                </c:pt>
                <c:pt idx="4">
                  <c:v>1962</c:v>
                </c:pt>
                <c:pt idx="5">
                  <c:v>1963</c:v>
                </c:pt>
                <c:pt idx="6">
                  <c:v>1964</c:v>
                </c:pt>
                <c:pt idx="7">
                  <c:v>1965</c:v>
                </c:pt>
                <c:pt idx="8">
                  <c:v>1966</c:v>
                </c:pt>
                <c:pt idx="9">
                  <c:v>1967</c:v>
                </c:pt>
                <c:pt idx="10">
                  <c:v>1968</c:v>
                </c:pt>
                <c:pt idx="11">
                  <c:v>1969</c:v>
                </c:pt>
                <c:pt idx="12">
                  <c:v>1970</c:v>
                </c:pt>
                <c:pt idx="13">
                  <c:v>1971</c:v>
                </c:pt>
                <c:pt idx="14">
                  <c:v>1972</c:v>
                </c:pt>
                <c:pt idx="15">
                  <c:v>1973</c:v>
                </c:pt>
                <c:pt idx="16">
                  <c:v>1974</c:v>
                </c:pt>
              </c:numCache>
            </c:numRef>
          </c:cat>
          <c:val>
            <c:numRef>
              <c:f>'US Census All S&amp;L Simple'!$G$5:$G$21</c:f>
              <c:numCache>
                <c:formatCode>#,##0</c:formatCode>
                <c:ptCount val="17"/>
                <c:pt idx="0">
                  <c:v>5115.1570000000002</c:v>
                </c:pt>
                <c:pt idx="1">
                  <c:v>5545.2560000000003</c:v>
                </c:pt>
                <c:pt idx="2">
                  <c:v>5954.4350000000004</c:v>
                </c:pt>
                <c:pt idx="3">
                  <c:v>5990.2619999999997</c:v>
                </c:pt>
                <c:pt idx="4">
                  <c:v>6111.692</c:v>
                </c:pt>
                <c:pt idx="5">
                  <c:v>6507.3419999999996</c:v>
                </c:pt>
                <c:pt idx="6">
                  <c:v>6954.3469999999998</c:v>
                </c:pt>
                <c:pt idx="7">
                  <c:v>7396.7110000000002</c:v>
                </c:pt>
                <c:pt idx="8">
                  <c:v>7046.2569999999996</c:v>
                </c:pt>
                <c:pt idx="9">
                  <c:v>6649.643</c:v>
                </c:pt>
                <c:pt idx="10">
                  <c:v>6126.6469999999999</c:v>
                </c:pt>
                <c:pt idx="11">
                  <c:v>5815.0150000000003</c:v>
                </c:pt>
                <c:pt idx="12">
                  <c:v>5178.95</c:v>
                </c:pt>
                <c:pt idx="13">
                  <c:v>4462.058</c:v>
                </c:pt>
                <c:pt idx="14">
                  <c:v>3720.848</c:v>
                </c:pt>
                <c:pt idx="15">
                  <c:v>3458.5839999999998</c:v>
                </c:pt>
                <c:pt idx="16">
                  <c:v>5326.5519999999997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D1-4F24-BA30-92205322E52B}"/>
            </c:ext>
          </c:extLst>
        </c:ser>
        <c:ser>
          <c:idx val="2"/>
          <c:order val="2"/>
          <c:tx>
            <c:strRef>
              <c:f>'US Census All S&amp;L Simple'!$H$4</c:f>
              <c:strCache>
                <c:ptCount val="1"/>
                <c:pt idx="0">
                  <c:v>Corporate Bonds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'US Census All S&amp;L Simple'!$B$5:$B$21</c:f>
              <c:numCache>
                <c:formatCode>General</c:formatCode>
                <c:ptCount val="17"/>
                <c:pt idx="0">
                  <c:v>1957</c:v>
                </c:pt>
                <c:pt idx="1">
                  <c:v>1959</c:v>
                </c:pt>
                <c:pt idx="2">
                  <c:v>1960</c:v>
                </c:pt>
                <c:pt idx="3">
                  <c:v>1961</c:v>
                </c:pt>
                <c:pt idx="4">
                  <c:v>1962</c:v>
                </c:pt>
                <c:pt idx="5">
                  <c:v>1963</c:v>
                </c:pt>
                <c:pt idx="6">
                  <c:v>1964</c:v>
                </c:pt>
                <c:pt idx="7">
                  <c:v>1965</c:v>
                </c:pt>
                <c:pt idx="8">
                  <c:v>1966</c:v>
                </c:pt>
                <c:pt idx="9">
                  <c:v>1967</c:v>
                </c:pt>
                <c:pt idx="10">
                  <c:v>1968</c:v>
                </c:pt>
                <c:pt idx="11">
                  <c:v>1969</c:v>
                </c:pt>
                <c:pt idx="12">
                  <c:v>1970</c:v>
                </c:pt>
                <c:pt idx="13">
                  <c:v>1971</c:v>
                </c:pt>
                <c:pt idx="14">
                  <c:v>1972</c:v>
                </c:pt>
                <c:pt idx="15">
                  <c:v>1973</c:v>
                </c:pt>
                <c:pt idx="16">
                  <c:v>1974</c:v>
                </c:pt>
              </c:numCache>
            </c:numRef>
          </c:cat>
          <c:val>
            <c:numRef>
              <c:f>'US Census All S&amp;L Simple'!$H$5:$H$21</c:f>
              <c:numCache>
                <c:formatCode>#,##0</c:formatCode>
                <c:ptCount val="17"/>
                <c:pt idx="0">
                  <c:v>3379.9290000000001</c:v>
                </c:pt>
                <c:pt idx="1">
                  <c:v>5003.01</c:v>
                </c:pt>
                <c:pt idx="2">
                  <c:v>6098.5159999999996</c:v>
                </c:pt>
                <c:pt idx="3">
                  <c:v>7467.7389999999996</c:v>
                </c:pt>
                <c:pt idx="4">
                  <c:v>9523</c:v>
                </c:pt>
                <c:pt idx="5">
                  <c:v>11487.800999999999</c:v>
                </c:pt>
                <c:pt idx="6">
                  <c:v>13346</c:v>
                </c:pt>
                <c:pt idx="7">
                  <c:v>15098</c:v>
                </c:pt>
                <c:pt idx="8">
                  <c:v>17650</c:v>
                </c:pt>
                <c:pt idx="9">
                  <c:v>20276</c:v>
                </c:pt>
                <c:pt idx="10">
                  <c:v>23316</c:v>
                </c:pt>
                <c:pt idx="11">
                  <c:v>26718</c:v>
                </c:pt>
                <c:pt idx="12">
                  <c:v>30132</c:v>
                </c:pt>
                <c:pt idx="13">
                  <c:v>34641</c:v>
                </c:pt>
                <c:pt idx="14">
                  <c:v>37915</c:v>
                </c:pt>
                <c:pt idx="15">
                  <c:v>43333</c:v>
                </c:pt>
                <c:pt idx="16">
                  <c:v>47363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D1-4F24-BA30-92205322E52B}"/>
            </c:ext>
          </c:extLst>
        </c:ser>
        <c:ser>
          <c:idx val="3"/>
          <c:order val="3"/>
          <c:tx>
            <c:strRef>
              <c:f>'US Census All S&amp;L Simple'!$I$4</c:f>
              <c:strCache>
                <c:ptCount val="1"/>
                <c:pt idx="0">
                  <c:v>Corporate Stocks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'US Census All S&amp;L Simple'!$B$5:$B$21</c:f>
              <c:numCache>
                <c:formatCode>General</c:formatCode>
                <c:ptCount val="17"/>
                <c:pt idx="0">
                  <c:v>1957</c:v>
                </c:pt>
                <c:pt idx="1">
                  <c:v>1959</c:v>
                </c:pt>
                <c:pt idx="2">
                  <c:v>1960</c:v>
                </c:pt>
                <c:pt idx="3">
                  <c:v>1961</c:v>
                </c:pt>
                <c:pt idx="4">
                  <c:v>1962</c:v>
                </c:pt>
                <c:pt idx="5">
                  <c:v>1963</c:v>
                </c:pt>
                <c:pt idx="6">
                  <c:v>1964</c:v>
                </c:pt>
                <c:pt idx="7">
                  <c:v>1965</c:v>
                </c:pt>
                <c:pt idx="8">
                  <c:v>1966</c:v>
                </c:pt>
                <c:pt idx="9">
                  <c:v>1967</c:v>
                </c:pt>
                <c:pt idx="10">
                  <c:v>1968</c:v>
                </c:pt>
                <c:pt idx="11">
                  <c:v>1969</c:v>
                </c:pt>
                <c:pt idx="12">
                  <c:v>1970</c:v>
                </c:pt>
                <c:pt idx="13">
                  <c:v>1971</c:v>
                </c:pt>
                <c:pt idx="14">
                  <c:v>1972</c:v>
                </c:pt>
                <c:pt idx="15">
                  <c:v>1973</c:v>
                </c:pt>
                <c:pt idx="16">
                  <c:v>1974</c:v>
                </c:pt>
              </c:numCache>
            </c:numRef>
          </c:cat>
          <c:val>
            <c:numRef>
              <c:f>'US Census All S&amp;L Simple'!$I$5:$I$21</c:f>
              <c:numCache>
                <c:formatCode>#,##0</c:formatCode>
                <c:ptCount val="17"/>
                <c:pt idx="0">
                  <c:v>182.98099999999999</c:v>
                </c:pt>
                <c:pt idx="1">
                  <c:v>301.221</c:v>
                </c:pt>
                <c:pt idx="2">
                  <c:v>393.25</c:v>
                </c:pt>
                <c:pt idx="3">
                  <c:v>482.7</c:v>
                </c:pt>
                <c:pt idx="4">
                  <c:v>694</c:v>
                </c:pt>
                <c:pt idx="5">
                  <c:v>879.51499999999999</c:v>
                </c:pt>
                <c:pt idx="6">
                  <c:v>1123</c:v>
                </c:pt>
                <c:pt idx="7">
                  <c:v>1422</c:v>
                </c:pt>
                <c:pt idx="8">
                  <c:v>1837</c:v>
                </c:pt>
                <c:pt idx="9">
                  <c:v>2391</c:v>
                </c:pt>
                <c:pt idx="10">
                  <c:v>3311</c:v>
                </c:pt>
                <c:pt idx="11">
                  <c:v>4921</c:v>
                </c:pt>
                <c:pt idx="12">
                  <c:v>6912</c:v>
                </c:pt>
                <c:pt idx="13">
                  <c:v>9469</c:v>
                </c:pt>
                <c:pt idx="14">
                  <c:v>12616</c:v>
                </c:pt>
                <c:pt idx="15">
                  <c:v>17063</c:v>
                </c:pt>
                <c:pt idx="16">
                  <c:v>19560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5D1-4F24-BA30-92205322E52B}"/>
            </c:ext>
          </c:extLst>
        </c:ser>
        <c:ser>
          <c:idx val="4"/>
          <c:order val="4"/>
          <c:tx>
            <c:strRef>
              <c:f>'US Census All S&amp;L Simple'!$J$4</c:f>
              <c:strCache>
                <c:ptCount val="1"/>
                <c:pt idx="0">
                  <c:v>Other Investments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'US Census All S&amp;L Simple'!$B$5:$B$21</c:f>
              <c:numCache>
                <c:formatCode>General</c:formatCode>
                <c:ptCount val="17"/>
                <c:pt idx="0">
                  <c:v>1957</c:v>
                </c:pt>
                <c:pt idx="1">
                  <c:v>1959</c:v>
                </c:pt>
                <c:pt idx="2">
                  <c:v>1960</c:v>
                </c:pt>
                <c:pt idx="3">
                  <c:v>1961</c:v>
                </c:pt>
                <c:pt idx="4">
                  <c:v>1962</c:v>
                </c:pt>
                <c:pt idx="5">
                  <c:v>1963</c:v>
                </c:pt>
                <c:pt idx="6">
                  <c:v>1964</c:v>
                </c:pt>
                <c:pt idx="7">
                  <c:v>1965</c:v>
                </c:pt>
                <c:pt idx="8">
                  <c:v>1966</c:v>
                </c:pt>
                <c:pt idx="9">
                  <c:v>1967</c:v>
                </c:pt>
                <c:pt idx="10">
                  <c:v>1968</c:v>
                </c:pt>
                <c:pt idx="11">
                  <c:v>1969</c:v>
                </c:pt>
                <c:pt idx="12">
                  <c:v>1970</c:v>
                </c:pt>
                <c:pt idx="13">
                  <c:v>1971</c:v>
                </c:pt>
                <c:pt idx="14">
                  <c:v>1972</c:v>
                </c:pt>
                <c:pt idx="15">
                  <c:v>1973</c:v>
                </c:pt>
                <c:pt idx="16">
                  <c:v>1974</c:v>
                </c:pt>
              </c:numCache>
            </c:numRef>
          </c:cat>
          <c:val>
            <c:numRef>
              <c:f>'US Census All S&amp;L Simple'!$J$5:$J$21</c:f>
              <c:numCache>
                <c:formatCode>#,##0</c:formatCode>
                <c:ptCount val="17"/>
                <c:pt idx="0">
                  <c:v>635.68299999999999</c:v>
                </c:pt>
                <c:pt idx="1">
                  <c:v>1137.056</c:v>
                </c:pt>
                <c:pt idx="2">
                  <c:v>1532.866</c:v>
                </c:pt>
                <c:pt idx="3">
                  <c:v>2263.4949999999999</c:v>
                </c:pt>
                <c:pt idx="4">
                  <c:v>2630</c:v>
                </c:pt>
                <c:pt idx="5">
                  <c:v>3225.107</c:v>
                </c:pt>
                <c:pt idx="6">
                  <c:v>3834</c:v>
                </c:pt>
                <c:pt idx="7">
                  <c:v>4830</c:v>
                </c:pt>
                <c:pt idx="8">
                  <c:v>5881</c:v>
                </c:pt>
                <c:pt idx="9">
                  <c:v>7074.1779999999999</c:v>
                </c:pt>
                <c:pt idx="10">
                  <c:v>8055</c:v>
                </c:pt>
                <c:pt idx="11">
                  <c:v>8594</c:v>
                </c:pt>
                <c:pt idx="12">
                  <c:v>10020</c:v>
                </c:pt>
                <c:pt idx="13">
                  <c:v>10395</c:v>
                </c:pt>
                <c:pt idx="14">
                  <c:v>11296.151</c:v>
                </c:pt>
                <c:pt idx="15">
                  <c:v>11945</c:v>
                </c:pt>
                <c:pt idx="16">
                  <c:v>12305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5D1-4F24-BA30-92205322E5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658959"/>
        <c:axId val="32654383"/>
      </c:barChart>
      <c:catAx>
        <c:axId val="326589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654383"/>
        <c:crosses val="autoZero"/>
        <c:auto val="1"/>
        <c:lblAlgn val="ctr"/>
        <c:lblOffset val="100"/>
        <c:noMultiLvlLbl val="0"/>
      </c:catAx>
      <c:valAx>
        <c:axId val="326543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6589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2</xdr:row>
      <xdr:rowOff>168729</xdr:rowOff>
    </xdr:from>
    <xdr:to>
      <xdr:col>23</xdr:col>
      <xdr:colOff>304800</xdr:colOff>
      <xdr:row>17</xdr:row>
      <xdr:rowOff>136072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06DAEFA-EE98-238E-07B1-C9A8E47A485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32657</xdr:colOff>
      <xdr:row>18</xdr:row>
      <xdr:rowOff>21770</xdr:rowOff>
    </xdr:from>
    <xdr:to>
      <xdr:col>23</xdr:col>
      <xdr:colOff>337457</xdr:colOff>
      <xdr:row>32</xdr:row>
      <xdr:rowOff>174170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3447EC8-0D2D-4DC4-B43E-C683176044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0</xdr:colOff>
      <xdr:row>10</xdr:row>
      <xdr:rowOff>0</xdr:rowOff>
    </xdr:from>
    <xdr:to>
      <xdr:col>43</xdr:col>
      <xdr:colOff>602673</xdr:colOff>
      <xdr:row>37</xdr:row>
      <xdr:rowOff>76201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236E6EE-AD5A-419F-976D-7C74292CE6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174172</xdr:colOff>
      <xdr:row>3</xdr:row>
      <xdr:rowOff>125186</xdr:rowOff>
    </xdr:from>
    <xdr:to>
      <xdr:col>22</xdr:col>
      <xdr:colOff>478972</xdr:colOff>
      <xdr:row>18</xdr:row>
      <xdr:rowOff>92528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E772603-5231-E2DF-ECA1-DA32CD12B91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174172</xdr:colOff>
      <xdr:row>19</xdr:row>
      <xdr:rowOff>-1</xdr:rowOff>
    </xdr:from>
    <xdr:to>
      <xdr:col>22</xdr:col>
      <xdr:colOff>478972</xdr:colOff>
      <xdr:row>33</xdr:row>
      <xdr:rowOff>152399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D1954C56-55C0-4ED6-81D0-E21C519846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337458</xdr:colOff>
      <xdr:row>3</xdr:row>
      <xdr:rowOff>179614</xdr:rowOff>
    </xdr:from>
    <xdr:to>
      <xdr:col>24</xdr:col>
      <xdr:colOff>32658</xdr:colOff>
      <xdr:row>18</xdr:row>
      <xdr:rowOff>146956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742CAF3-65F3-5D7B-083F-EB7645E54D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337457</xdr:colOff>
      <xdr:row>19</xdr:row>
      <xdr:rowOff>43542</xdr:rowOff>
    </xdr:from>
    <xdr:to>
      <xdr:col>24</xdr:col>
      <xdr:colOff>32657</xdr:colOff>
      <xdr:row>34</xdr:row>
      <xdr:rowOff>10885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798EB0E-874B-4CCB-969F-E2CC25F5AC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91440</xdr:colOff>
      <xdr:row>2</xdr:row>
      <xdr:rowOff>15240</xdr:rowOff>
    </xdr:from>
    <xdr:to>
      <xdr:col>18</xdr:col>
      <xdr:colOff>396240</xdr:colOff>
      <xdr:row>17</xdr:row>
      <xdr:rowOff>15240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BBE6850-4D6E-0227-855D-A0439FABC0C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91440</xdr:colOff>
      <xdr:row>17</xdr:row>
      <xdr:rowOff>91440</xdr:rowOff>
    </xdr:from>
    <xdr:to>
      <xdr:col>18</xdr:col>
      <xdr:colOff>396240</xdr:colOff>
      <xdr:row>32</xdr:row>
      <xdr:rowOff>91440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6CC1D6C-F569-43B4-88A6-AEEEB9D2F9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2087671" y="354904"/>
    <xdr:ext cx="8659906" cy="628425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7681CA1-28B4-4D0E-BD5F-46D104F4DA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anv/Dropbox/PC/Documents/Publications%20and%20Papers/Articles%20and%20Pubs/Published/Pensions%20and%20Schools/Old%20Drop%20Box%20Folder/Drafts%20(Capitalism)/Resubmission%20(5-2020)/Final%20Version/Final%20Final/Figure%201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 Data"/>
      <sheetName val="Figure 1"/>
    </sheetNames>
    <sheetDataSet>
      <sheetData sheetId="0">
        <row r="1">
          <cell r="C1" t="str">
            <v>Municipal Yields as Percentage of Corporate Yields</v>
          </cell>
          <cell r="G1" t="str">
            <v>Municipal Yields minus Corporate Yields (Basis Points)</v>
          </cell>
        </row>
        <row r="2">
          <cell r="B2">
            <v>1900</v>
          </cell>
          <cell r="G2">
            <v>-6</v>
          </cell>
          <cell r="I2">
            <v>0.98</v>
          </cell>
        </row>
        <row r="3">
          <cell r="B3">
            <v>1901</v>
          </cell>
          <cell r="G3">
            <v>-18</v>
          </cell>
          <cell r="I3">
            <v>0.94</v>
          </cell>
        </row>
        <row r="4">
          <cell r="B4">
            <v>1902</v>
          </cell>
          <cell r="G4">
            <v>-16</v>
          </cell>
          <cell r="I4">
            <v>0.95</v>
          </cell>
        </row>
        <row r="5">
          <cell r="B5">
            <v>1903</v>
          </cell>
          <cell r="G5">
            <v>-25</v>
          </cell>
          <cell r="I5">
            <v>0.93</v>
          </cell>
        </row>
        <row r="6">
          <cell r="B6">
            <v>1904</v>
          </cell>
          <cell r="G6">
            <v>-17</v>
          </cell>
          <cell r="I6">
            <v>0.95</v>
          </cell>
        </row>
        <row r="7">
          <cell r="B7">
            <v>1905</v>
          </cell>
          <cell r="G7">
            <v>-3</v>
          </cell>
          <cell r="I7">
            <v>0.99</v>
          </cell>
        </row>
        <row r="8">
          <cell r="B8">
            <v>1906</v>
          </cell>
          <cell r="G8">
            <v>-22</v>
          </cell>
          <cell r="I8">
            <v>0.94</v>
          </cell>
        </row>
        <row r="9">
          <cell r="B9">
            <v>1907</v>
          </cell>
          <cell r="G9">
            <v>-25</v>
          </cell>
          <cell r="I9">
            <v>0.93</v>
          </cell>
        </row>
        <row r="10">
          <cell r="B10">
            <v>1908</v>
          </cell>
          <cell r="G10">
            <v>-3</v>
          </cell>
          <cell r="I10">
            <v>0.99</v>
          </cell>
        </row>
        <row r="11">
          <cell r="B11">
            <v>1909</v>
          </cell>
          <cell r="G11">
            <v>-2</v>
          </cell>
          <cell r="I11">
            <v>0.99</v>
          </cell>
        </row>
        <row r="12">
          <cell r="B12">
            <v>1910</v>
          </cell>
          <cell r="G12">
            <v>4</v>
          </cell>
          <cell r="I12">
            <v>1.01</v>
          </cell>
        </row>
        <row r="13">
          <cell r="B13">
            <v>1911</v>
          </cell>
          <cell r="G13">
            <v>5</v>
          </cell>
          <cell r="I13">
            <v>1.01</v>
          </cell>
        </row>
        <row r="14">
          <cell r="B14">
            <v>1912</v>
          </cell>
          <cell r="G14">
            <v>6</v>
          </cell>
          <cell r="I14">
            <v>1.02</v>
          </cell>
        </row>
        <row r="15">
          <cell r="B15">
            <v>1913</v>
          </cell>
          <cell r="G15">
            <v>31</v>
          </cell>
          <cell r="I15">
            <v>1.08</v>
          </cell>
        </row>
        <row r="16">
          <cell r="B16">
            <v>1914</v>
          </cell>
          <cell r="G16">
            <v>5</v>
          </cell>
          <cell r="I16">
            <v>1.02</v>
          </cell>
        </row>
        <row r="17">
          <cell r="B17">
            <v>1915</v>
          </cell>
          <cell r="G17">
            <v>6</v>
          </cell>
          <cell r="I17">
            <v>1.02</v>
          </cell>
        </row>
        <row r="18">
          <cell r="B18">
            <v>1916</v>
          </cell>
          <cell r="G18">
            <v>-5</v>
          </cell>
          <cell r="I18">
            <v>0.99</v>
          </cell>
        </row>
        <row r="19">
          <cell r="B19">
            <v>1917</v>
          </cell>
          <cell r="G19">
            <v>-18</v>
          </cell>
          <cell r="I19">
            <v>0.96</v>
          </cell>
        </row>
        <row r="20">
          <cell r="B20">
            <v>1918</v>
          </cell>
          <cell r="G20">
            <v>-25</v>
          </cell>
          <cell r="I20">
            <v>0.95</v>
          </cell>
        </row>
        <row r="21">
          <cell r="B21">
            <v>1919</v>
          </cell>
          <cell r="G21">
            <v>-34</v>
          </cell>
          <cell r="I21">
            <v>0.93</v>
          </cell>
        </row>
        <row r="22">
          <cell r="B22">
            <v>1920</v>
          </cell>
          <cell r="G22">
            <v>-47</v>
          </cell>
          <cell r="I22">
            <v>0.91</v>
          </cell>
        </row>
        <row r="23">
          <cell r="B23">
            <v>1921</v>
          </cell>
          <cell r="G23">
            <v>-31</v>
          </cell>
          <cell r="I23">
            <v>0.94</v>
          </cell>
        </row>
        <row r="24">
          <cell r="B24">
            <v>1922</v>
          </cell>
          <cell r="G24">
            <v>-44</v>
          </cell>
          <cell r="I24">
            <v>0.91</v>
          </cell>
        </row>
        <row r="25">
          <cell r="B25">
            <v>1923</v>
          </cell>
          <cell r="G25">
            <v>-53</v>
          </cell>
          <cell r="I25">
            <v>0.88</v>
          </cell>
        </row>
        <row r="26">
          <cell r="B26">
            <v>1924</v>
          </cell>
          <cell r="G26">
            <v>-59</v>
          </cell>
          <cell r="I26">
            <v>0.87</v>
          </cell>
        </row>
        <row r="27">
          <cell r="B27">
            <v>1925</v>
          </cell>
          <cell r="G27">
            <v>-60</v>
          </cell>
          <cell r="I27">
            <v>0.87</v>
          </cell>
        </row>
        <row r="28">
          <cell r="B28">
            <v>1926</v>
          </cell>
          <cell r="G28">
            <v>-41</v>
          </cell>
          <cell r="I28">
            <v>0.91</v>
          </cell>
        </row>
        <row r="29">
          <cell r="B29">
            <v>1927</v>
          </cell>
          <cell r="G29">
            <v>-33</v>
          </cell>
          <cell r="I29">
            <v>0.92</v>
          </cell>
        </row>
        <row r="30">
          <cell r="B30">
            <v>1928</v>
          </cell>
          <cell r="G30">
            <v>-39</v>
          </cell>
          <cell r="I30">
            <v>0.91</v>
          </cell>
        </row>
        <row r="31">
          <cell r="B31">
            <v>1929</v>
          </cell>
          <cell r="G31">
            <v>-45</v>
          </cell>
          <cell r="I31">
            <v>0.9</v>
          </cell>
        </row>
        <row r="32">
          <cell r="B32">
            <v>1930</v>
          </cell>
          <cell r="G32">
            <v>-44</v>
          </cell>
          <cell r="I32">
            <v>0.9</v>
          </cell>
        </row>
        <row r="33">
          <cell r="B33">
            <v>1931</v>
          </cell>
          <cell r="G33">
            <v>-62</v>
          </cell>
          <cell r="I33">
            <v>0.85</v>
          </cell>
        </row>
        <row r="34">
          <cell r="B34">
            <v>1932</v>
          </cell>
          <cell r="G34">
            <v>-106</v>
          </cell>
          <cell r="I34">
            <v>0.78</v>
          </cell>
        </row>
        <row r="35">
          <cell r="B35">
            <v>1933</v>
          </cell>
          <cell r="G35">
            <v>-74</v>
          </cell>
          <cell r="I35">
            <v>0.82</v>
          </cell>
        </row>
        <row r="36">
          <cell r="B36">
            <v>1934</v>
          </cell>
          <cell r="G36">
            <v>-46</v>
          </cell>
          <cell r="I36">
            <v>0.87</v>
          </cell>
        </row>
        <row r="37">
          <cell r="B37">
            <v>1935</v>
          </cell>
          <cell r="G37">
            <v>-76</v>
          </cell>
          <cell r="I37">
            <v>0.81</v>
          </cell>
        </row>
        <row r="38">
          <cell r="B38">
            <v>1936</v>
          </cell>
          <cell r="G38">
            <v>-66</v>
          </cell>
          <cell r="I38">
            <v>0.78</v>
          </cell>
        </row>
        <row r="39">
          <cell r="B39">
            <v>1937</v>
          </cell>
          <cell r="G39">
            <v>-44</v>
          </cell>
          <cell r="I39">
            <v>0.86</v>
          </cell>
        </row>
        <row r="40">
          <cell r="B40">
            <v>1938</v>
          </cell>
          <cell r="G40">
            <v>-45</v>
          </cell>
          <cell r="I40">
            <v>0.84</v>
          </cell>
        </row>
        <row r="41">
          <cell r="B41">
            <v>1939</v>
          </cell>
          <cell r="G41">
            <v>-85</v>
          </cell>
          <cell r="I41">
            <v>0.7</v>
          </cell>
        </row>
        <row r="42">
          <cell r="B42">
            <v>1940</v>
          </cell>
          <cell r="G42">
            <v>-90</v>
          </cell>
          <cell r="I42">
            <v>0.67</v>
          </cell>
        </row>
        <row r="43">
          <cell r="B43">
            <v>1941</v>
          </cell>
          <cell r="G43">
            <v>-99</v>
          </cell>
          <cell r="I43">
            <v>0.62</v>
          </cell>
        </row>
        <row r="44">
          <cell r="B44">
            <v>1942</v>
          </cell>
          <cell r="G44">
            <v>-84</v>
          </cell>
          <cell r="I44">
            <v>0.68</v>
          </cell>
        </row>
        <row r="45">
          <cell r="B45">
            <v>1943</v>
          </cell>
          <cell r="G45">
            <v>-108</v>
          </cell>
          <cell r="I45">
            <v>0.57999999999999996</v>
          </cell>
        </row>
        <row r="46">
          <cell r="B46">
            <v>1944</v>
          </cell>
          <cell r="G46">
            <v>-139</v>
          </cell>
          <cell r="I46">
            <v>0.45</v>
          </cell>
        </row>
        <row r="47">
          <cell r="B47">
            <v>1945</v>
          </cell>
          <cell r="G47">
            <v>-149</v>
          </cell>
          <cell r="I47">
            <v>0.41</v>
          </cell>
        </row>
        <row r="48">
          <cell r="B48">
            <v>1946</v>
          </cell>
          <cell r="G48">
            <v>-133</v>
          </cell>
          <cell r="I48">
            <v>0.46</v>
          </cell>
        </row>
        <row r="49">
          <cell r="B49">
            <v>1947</v>
          </cell>
          <cell r="G49">
            <v>-111</v>
          </cell>
          <cell r="I49">
            <v>0.56999999999999995</v>
          </cell>
        </row>
        <row r="50">
          <cell r="B50">
            <v>1948</v>
          </cell>
          <cell r="G50">
            <v>-91</v>
          </cell>
          <cell r="I50">
            <v>0.68</v>
          </cell>
        </row>
        <row r="51">
          <cell r="B51">
            <v>1949</v>
          </cell>
          <cell r="G51">
            <v>-103</v>
          </cell>
          <cell r="I51">
            <v>0.61</v>
          </cell>
        </row>
        <row r="52">
          <cell r="B52">
            <v>1950</v>
          </cell>
          <cell r="G52">
            <v>-110</v>
          </cell>
          <cell r="I52">
            <v>0.57999999999999996</v>
          </cell>
        </row>
        <row r="53">
          <cell r="B53">
            <v>1951</v>
          </cell>
          <cell r="G53">
            <v>-111</v>
          </cell>
          <cell r="I53">
            <v>0.62</v>
          </cell>
        </row>
        <row r="54">
          <cell r="B54">
            <v>1952</v>
          </cell>
          <cell r="G54">
            <v>-101</v>
          </cell>
          <cell r="I54">
            <v>0.67</v>
          </cell>
        </row>
        <row r="55">
          <cell r="B55">
            <v>1953</v>
          </cell>
          <cell r="G55">
            <v>-82</v>
          </cell>
          <cell r="I55">
            <v>0.75</v>
          </cell>
        </row>
        <row r="56">
          <cell r="B56">
            <v>1954</v>
          </cell>
          <cell r="G56">
            <v>-65</v>
          </cell>
          <cell r="I56">
            <v>0.79</v>
          </cell>
        </row>
        <row r="57">
          <cell r="B57">
            <v>1955</v>
          </cell>
          <cell r="G57">
            <v>-76</v>
          </cell>
          <cell r="I57">
            <v>0.76</v>
          </cell>
        </row>
        <row r="58">
          <cell r="B58">
            <v>1956</v>
          </cell>
          <cell r="G58">
            <v>-81</v>
          </cell>
          <cell r="I58">
            <v>0.76</v>
          </cell>
        </row>
        <row r="59">
          <cell r="B59">
            <v>1957</v>
          </cell>
          <cell r="G59">
            <v>-88</v>
          </cell>
          <cell r="I59">
            <v>0.78</v>
          </cell>
        </row>
        <row r="60">
          <cell r="B60">
            <v>1958</v>
          </cell>
          <cell r="G60">
            <v>-94</v>
          </cell>
          <cell r="I60">
            <v>0.78</v>
          </cell>
        </row>
        <row r="61">
          <cell r="B61">
            <v>1959</v>
          </cell>
          <cell r="G61">
            <v>-105</v>
          </cell>
          <cell r="I61">
            <v>0.76</v>
          </cell>
        </row>
        <row r="62">
          <cell r="B62">
            <v>1960</v>
          </cell>
          <cell r="G62">
            <v>-99</v>
          </cell>
          <cell r="I62">
            <v>0.77</v>
          </cell>
        </row>
        <row r="63">
          <cell r="B63">
            <v>1961</v>
          </cell>
          <cell r="G63">
            <v>-94</v>
          </cell>
          <cell r="I63">
            <v>0.78</v>
          </cell>
        </row>
        <row r="64">
          <cell r="B64">
            <v>1962</v>
          </cell>
          <cell r="G64">
            <v>-111</v>
          </cell>
          <cell r="I64">
            <v>0.74</v>
          </cell>
        </row>
        <row r="65">
          <cell r="B65">
            <v>1963</v>
          </cell>
          <cell r="G65">
            <v>-104</v>
          </cell>
          <cell r="I65">
            <v>0.75</v>
          </cell>
        </row>
        <row r="66">
          <cell r="B66">
            <v>1964</v>
          </cell>
          <cell r="G66">
            <v>-110</v>
          </cell>
          <cell r="I66">
            <v>0.75</v>
          </cell>
        </row>
        <row r="67">
          <cell r="B67">
            <v>1965</v>
          </cell>
          <cell r="G67">
            <v>-115</v>
          </cell>
          <cell r="I67">
            <v>0.74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FC02B6-29F6-4852-9239-28EA33E69754}">
  <dimension ref="A1:O73"/>
  <sheetViews>
    <sheetView tabSelected="1" zoomScale="55" zoomScaleNormal="55" workbookViewId="0">
      <selection activeCell="A7" sqref="A7:A36"/>
    </sheetView>
  </sheetViews>
  <sheetFormatPr defaultRowHeight="14.4" x14ac:dyDescent="0.3"/>
  <cols>
    <col min="3" max="3" width="13.109375" customWidth="1"/>
    <col min="4" max="4" width="10.88671875" customWidth="1"/>
    <col min="5" max="5" width="12.88671875" customWidth="1"/>
    <col min="6" max="6" width="11.5546875" customWidth="1"/>
    <col min="7" max="7" width="14.88671875" customWidth="1"/>
  </cols>
  <sheetData>
    <row r="1" spans="1:15" x14ac:dyDescent="0.3">
      <c r="A1" t="s">
        <v>6</v>
      </c>
      <c r="M1" s="38"/>
      <c r="N1" s="38"/>
      <c r="O1" s="38"/>
    </row>
    <row r="2" spans="1:15" x14ac:dyDescent="0.3">
      <c r="A2" s="4" t="s">
        <v>18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  <c r="N2" s="5"/>
      <c r="O2" s="1"/>
    </row>
    <row r="3" spans="1:15" x14ac:dyDescent="0.3">
      <c r="M3" s="1"/>
      <c r="N3" s="1"/>
      <c r="O3" s="1"/>
    </row>
    <row r="4" spans="1:15" x14ac:dyDescent="0.3">
      <c r="A4" t="s">
        <v>5</v>
      </c>
      <c r="M4" s="1"/>
      <c r="N4" s="1"/>
      <c r="O4" s="1"/>
    </row>
    <row r="5" spans="1:15" x14ac:dyDescent="0.3">
      <c r="C5" t="s">
        <v>0</v>
      </c>
      <c r="D5" t="s">
        <v>1</v>
      </c>
      <c r="E5" t="s">
        <v>2</v>
      </c>
      <c r="F5" t="s">
        <v>3</v>
      </c>
      <c r="G5" t="s">
        <v>4</v>
      </c>
    </row>
    <row r="7" spans="1:15" x14ac:dyDescent="0.3">
      <c r="A7">
        <v>1944</v>
      </c>
      <c r="C7" s="6">
        <v>1241772</v>
      </c>
      <c r="D7" s="6">
        <v>17132</v>
      </c>
      <c r="E7" s="6">
        <v>487473</v>
      </c>
      <c r="F7" s="6">
        <f>SUM(83224,529927)</f>
        <v>613151</v>
      </c>
      <c r="G7" s="6">
        <f>SUM(675,123341)</f>
        <v>124016</v>
      </c>
      <c r="L7" s="3"/>
      <c r="M7" s="3"/>
      <c r="N7" s="3"/>
      <c r="O7" s="3"/>
    </row>
    <row r="8" spans="1:15" x14ac:dyDescent="0.3">
      <c r="A8">
        <v>1947</v>
      </c>
      <c r="C8" s="6">
        <v>1789848</v>
      </c>
      <c r="D8" s="6">
        <v>41028</v>
      </c>
      <c r="E8" s="6">
        <v>1262670</v>
      </c>
      <c r="F8" s="6">
        <f>SUM(25457,339011)</f>
        <v>364468</v>
      </c>
      <c r="G8" s="6">
        <v>121682</v>
      </c>
      <c r="L8" s="3"/>
      <c r="M8" s="3"/>
      <c r="N8" s="3"/>
      <c r="O8" s="3"/>
    </row>
    <row r="9" spans="1:15" x14ac:dyDescent="0.3">
      <c r="A9">
        <v>1948</v>
      </c>
      <c r="C9" s="6">
        <v>2092571</v>
      </c>
      <c r="D9" s="6">
        <v>50517</v>
      </c>
      <c r="E9" s="6">
        <v>1457899</v>
      </c>
      <c r="F9" s="6">
        <f>SUM(30241,412470)</f>
        <v>442711</v>
      </c>
      <c r="G9" s="6">
        <v>141444</v>
      </c>
      <c r="L9" s="3"/>
      <c r="M9" s="3"/>
      <c r="N9" s="3"/>
      <c r="O9" s="3"/>
    </row>
    <row r="10" spans="1:15" x14ac:dyDescent="0.3">
      <c r="A10">
        <v>1949</v>
      </c>
      <c r="B10" s="8"/>
      <c r="C10" s="9">
        <v>2435930</v>
      </c>
      <c r="D10" s="9">
        <v>52191</v>
      </c>
      <c r="E10" s="9">
        <v>1679250</v>
      </c>
      <c r="F10" s="9">
        <f>SUM(49690,422128)</f>
        <v>471818</v>
      </c>
      <c r="G10" s="9">
        <v>232671</v>
      </c>
      <c r="L10" s="3"/>
      <c r="M10" s="3"/>
      <c r="N10" s="3"/>
      <c r="O10" s="3"/>
    </row>
    <row r="11" spans="1:15" x14ac:dyDescent="0.3">
      <c r="A11">
        <v>1950</v>
      </c>
      <c r="B11" s="8"/>
      <c r="C11" s="6">
        <v>2870583</v>
      </c>
      <c r="D11" s="6">
        <v>62601</v>
      </c>
      <c r="E11" s="6">
        <v>1895752</v>
      </c>
      <c r="F11" s="6">
        <f>SUM(59274,484498)</f>
        <v>543772</v>
      </c>
      <c r="G11" s="6">
        <v>368458</v>
      </c>
      <c r="L11" s="3"/>
      <c r="M11" s="3"/>
      <c r="N11" s="3"/>
      <c r="O11" s="3"/>
    </row>
    <row r="12" spans="1:15" x14ac:dyDescent="0.3">
      <c r="A12">
        <v>1951</v>
      </c>
      <c r="C12" s="6">
        <v>3441064</v>
      </c>
      <c r="D12" s="10">
        <v>62000</v>
      </c>
      <c r="E12" s="10">
        <v>2244000</v>
      </c>
      <c r="F12" s="10">
        <v>570000</v>
      </c>
      <c r="G12" s="10">
        <v>564000</v>
      </c>
      <c r="L12" s="3"/>
      <c r="M12" s="3"/>
      <c r="N12" s="3"/>
      <c r="O12" s="3"/>
    </row>
    <row r="13" spans="1:15" x14ac:dyDescent="0.3">
      <c r="A13">
        <v>1952</v>
      </c>
      <c r="C13" s="6">
        <v>4012383</v>
      </c>
      <c r="D13" s="10">
        <v>60000</v>
      </c>
      <c r="E13" s="10">
        <v>2539000</v>
      </c>
      <c r="F13" s="10">
        <v>578000</v>
      </c>
      <c r="G13" s="10">
        <v>835000</v>
      </c>
      <c r="L13" s="3"/>
      <c r="M13" s="3"/>
      <c r="N13" s="3"/>
      <c r="O13" s="3"/>
    </row>
    <row r="14" spans="1:15" x14ac:dyDescent="0.3">
      <c r="A14">
        <v>1953</v>
      </c>
      <c r="C14" s="6">
        <v>4637821</v>
      </c>
      <c r="D14" s="10">
        <v>61000</v>
      </c>
      <c r="E14" s="10">
        <v>2777000</v>
      </c>
      <c r="F14" s="10">
        <v>705000</v>
      </c>
      <c r="G14" s="10">
        <v>1093000</v>
      </c>
      <c r="L14" s="3"/>
      <c r="M14" s="3"/>
      <c r="N14" s="3"/>
      <c r="O14" s="3"/>
    </row>
    <row r="15" spans="1:15" x14ac:dyDescent="0.3">
      <c r="A15">
        <v>1954</v>
      </c>
      <c r="C15" s="6">
        <v>5370796</v>
      </c>
      <c r="D15" s="10">
        <v>100000</v>
      </c>
      <c r="E15" s="10">
        <v>2900000</v>
      </c>
      <c r="F15" s="10">
        <v>900000</v>
      </c>
      <c r="G15" s="10">
        <v>1400000</v>
      </c>
      <c r="L15" s="3"/>
      <c r="M15" s="3"/>
      <c r="N15" s="3"/>
      <c r="O15" s="3"/>
    </row>
    <row r="16" spans="1:15" x14ac:dyDescent="0.3">
      <c r="A16">
        <v>1955</v>
      </c>
      <c r="C16" s="6">
        <v>6158600</v>
      </c>
      <c r="D16" s="10">
        <v>100000</v>
      </c>
      <c r="E16" s="10">
        <v>3100000</v>
      </c>
      <c r="F16" s="10">
        <v>1100000</v>
      </c>
      <c r="G16" s="10">
        <v>1900000</v>
      </c>
      <c r="L16" s="3"/>
      <c r="M16" s="3"/>
      <c r="N16" s="3"/>
      <c r="O16" s="3"/>
    </row>
    <row r="17" spans="1:15" x14ac:dyDescent="0.3">
      <c r="A17">
        <v>1956</v>
      </c>
      <c r="C17" s="6">
        <v>7080711</v>
      </c>
      <c r="D17" s="10">
        <v>100000</v>
      </c>
      <c r="E17" s="10">
        <v>3400000</v>
      </c>
      <c r="F17" s="10">
        <v>1300000</v>
      </c>
      <c r="G17" s="10">
        <v>2300000</v>
      </c>
      <c r="L17" s="3"/>
      <c r="M17" s="3"/>
      <c r="N17" s="3"/>
      <c r="O17" s="3"/>
    </row>
    <row r="18" spans="1:15" x14ac:dyDescent="0.3">
      <c r="A18">
        <v>1957</v>
      </c>
      <c r="C18" s="6">
        <v>8050424</v>
      </c>
      <c r="D18" s="6">
        <v>110515</v>
      </c>
      <c r="E18" s="6">
        <v>3572872</v>
      </c>
      <c r="F18" s="6">
        <f>SUM(441701,1043789)</f>
        <v>1485490</v>
      </c>
      <c r="G18" s="6">
        <v>2881547</v>
      </c>
      <c r="L18" s="3"/>
      <c r="M18" s="3"/>
      <c r="N18" s="3"/>
      <c r="O18" s="3"/>
    </row>
    <row r="19" spans="1:15" x14ac:dyDescent="0.3">
      <c r="A19">
        <v>1958</v>
      </c>
      <c r="C19" s="6">
        <v>9249172</v>
      </c>
      <c r="D19" s="6">
        <v>126399</v>
      </c>
      <c r="E19" s="6">
        <v>3572038</v>
      </c>
      <c r="F19" s="6">
        <f>SUM(433319,1252627)</f>
        <v>1685946</v>
      </c>
      <c r="G19" s="6">
        <v>3864789</v>
      </c>
      <c r="L19" s="3"/>
      <c r="M19" s="3"/>
      <c r="N19" s="3"/>
      <c r="O19" s="3"/>
    </row>
    <row r="20" spans="1:15" x14ac:dyDescent="0.3">
      <c r="A20">
        <v>1959</v>
      </c>
      <c r="C20" s="6">
        <v>10498588</v>
      </c>
      <c r="D20" s="6">
        <v>121395</v>
      </c>
      <c r="E20" s="6">
        <v>3845805</v>
      </c>
      <c r="F20" s="6">
        <f>SUM(516846,1335552)</f>
        <v>1852398</v>
      </c>
      <c r="G20" s="6">
        <v>4678990</v>
      </c>
      <c r="L20" s="3"/>
      <c r="M20" s="3"/>
      <c r="N20" s="3"/>
      <c r="O20" s="3"/>
    </row>
    <row r="21" spans="1:15" x14ac:dyDescent="0.3">
      <c r="A21">
        <v>1960</v>
      </c>
      <c r="C21" s="6">
        <v>12126669</v>
      </c>
      <c r="D21" s="6">
        <v>113047</v>
      </c>
      <c r="E21" s="6">
        <v>4162105</v>
      </c>
      <c r="F21" s="6">
        <f>SUM(566063,1354125)</f>
        <v>1920188</v>
      </c>
      <c r="G21" s="6">
        <v>5931329</v>
      </c>
      <c r="L21" s="3"/>
      <c r="M21" s="3"/>
      <c r="N21" s="3"/>
      <c r="O21" s="3"/>
    </row>
    <row r="22" spans="1:15" x14ac:dyDescent="0.3">
      <c r="A22">
        <v>1961</v>
      </c>
      <c r="C22" s="6">
        <v>13797670</v>
      </c>
      <c r="D22" s="6">
        <v>144673</v>
      </c>
      <c r="E22" s="6">
        <v>4141572</v>
      </c>
      <c r="F22" s="6">
        <f>SUM(549944,1358904)</f>
        <v>1908848</v>
      </c>
      <c r="G22" s="6">
        <v>7602577</v>
      </c>
      <c r="L22" s="3"/>
      <c r="M22" s="3"/>
      <c r="N22" s="3"/>
      <c r="O22" s="3"/>
    </row>
    <row r="23" spans="1:15" x14ac:dyDescent="0.3">
      <c r="A23">
        <v>1962</v>
      </c>
      <c r="C23" s="6">
        <v>15547443</v>
      </c>
      <c r="D23" s="6">
        <v>153206</v>
      </c>
      <c r="E23" s="6">
        <v>4149260</v>
      </c>
      <c r="F23" s="6">
        <f>SUM(484770,1235414)</f>
        <v>1720184</v>
      </c>
      <c r="G23" s="6">
        <v>9524793</v>
      </c>
      <c r="L23" s="3"/>
      <c r="M23" s="3"/>
      <c r="N23" s="3"/>
      <c r="O23" s="3"/>
    </row>
    <row r="24" spans="1:15" x14ac:dyDescent="0.3">
      <c r="A24">
        <v>1963</v>
      </c>
      <c r="C24" s="6">
        <v>17464736</v>
      </c>
      <c r="D24" s="6">
        <v>158718</v>
      </c>
      <c r="E24" s="6">
        <v>4470501</v>
      </c>
      <c r="F24" s="6">
        <f>SUM(383835,1022827)</f>
        <v>1406662</v>
      </c>
      <c r="G24" s="6">
        <v>11428855</v>
      </c>
      <c r="L24" s="3"/>
      <c r="M24" s="3"/>
      <c r="N24" s="3"/>
      <c r="O24" s="3"/>
    </row>
    <row r="25" spans="1:15" x14ac:dyDescent="0.3">
      <c r="A25">
        <v>1964</v>
      </c>
      <c r="C25" s="6">
        <v>19726165</v>
      </c>
      <c r="D25" s="6">
        <v>145687</v>
      </c>
      <c r="E25" s="6">
        <v>4775632</v>
      </c>
      <c r="F25" s="6">
        <v>1153673</v>
      </c>
      <c r="G25" s="6">
        <v>13651173</v>
      </c>
      <c r="L25" s="3"/>
      <c r="M25" s="3"/>
      <c r="N25" s="3"/>
      <c r="O25" s="3"/>
    </row>
    <row r="26" spans="1:15" x14ac:dyDescent="0.3">
      <c r="A26">
        <v>1965</v>
      </c>
      <c r="C26" s="6">
        <v>22092521</v>
      </c>
      <c r="D26" s="6">
        <v>152131</v>
      </c>
      <c r="E26" s="6">
        <v>5186201</v>
      </c>
      <c r="F26" s="6">
        <v>941480</v>
      </c>
      <c r="G26" s="6">
        <v>15812709</v>
      </c>
      <c r="L26" s="3"/>
      <c r="M26" s="3"/>
      <c r="N26" s="3"/>
      <c r="O26" s="3"/>
    </row>
    <row r="27" spans="1:15" x14ac:dyDescent="0.3">
      <c r="A27">
        <v>1966</v>
      </c>
      <c r="C27" s="6">
        <v>24669615</v>
      </c>
      <c r="D27" s="6">
        <v>146827</v>
      </c>
      <c r="E27" s="6">
        <v>4952304</v>
      </c>
      <c r="F27" s="6">
        <v>758719</v>
      </c>
      <c r="G27" s="6">
        <v>18811765</v>
      </c>
      <c r="L27" s="3"/>
      <c r="M27" s="3"/>
      <c r="N27" s="3"/>
      <c r="O27" s="3"/>
    </row>
    <row r="28" spans="1:15" x14ac:dyDescent="0.3">
      <c r="A28">
        <v>1967</v>
      </c>
      <c r="C28" s="6">
        <v>27660817</v>
      </c>
      <c r="D28" s="6">
        <v>235585</v>
      </c>
      <c r="E28" s="6">
        <v>4589528</v>
      </c>
      <c r="F28" s="6">
        <v>701998</v>
      </c>
      <c r="G28" s="6">
        <v>22133706</v>
      </c>
      <c r="L28" s="3"/>
      <c r="M28" s="3"/>
      <c r="N28" s="3"/>
      <c r="O28" s="3"/>
    </row>
    <row r="29" spans="1:15" x14ac:dyDescent="0.3">
      <c r="A29">
        <v>1968</v>
      </c>
      <c r="C29" s="6">
        <v>31101910</v>
      </c>
      <c r="D29" s="6">
        <v>260571</v>
      </c>
      <c r="E29" s="6">
        <v>4120336</v>
      </c>
      <c r="F29" s="6">
        <v>674611</v>
      </c>
      <c r="G29" s="6">
        <v>26046392</v>
      </c>
      <c r="L29" s="3"/>
      <c r="M29" s="3"/>
      <c r="N29" s="3"/>
      <c r="O29" s="3"/>
    </row>
    <row r="30" spans="1:15" x14ac:dyDescent="0.3">
      <c r="A30">
        <v>1969</v>
      </c>
      <c r="C30" s="6">
        <v>35233399</v>
      </c>
      <c r="D30" s="6">
        <v>242119</v>
      </c>
      <c r="E30" s="6">
        <v>3814206</v>
      </c>
      <c r="F30" s="6">
        <v>565870</v>
      </c>
      <c r="G30" s="6">
        <v>30611204</v>
      </c>
      <c r="L30" s="3"/>
      <c r="M30" s="3"/>
      <c r="N30" s="3"/>
      <c r="O30" s="3"/>
    </row>
    <row r="31" spans="1:15" x14ac:dyDescent="0.3">
      <c r="A31">
        <v>1970</v>
      </c>
      <c r="C31" s="6">
        <v>39996798</v>
      </c>
      <c r="D31" s="6">
        <v>280764</v>
      </c>
      <c r="E31" s="6">
        <v>3241647</v>
      </c>
      <c r="F31" s="6">
        <v>561980</v>
      </c>
      <c r="G31" s="6">
        <v>35912407</v>
      </c>
      <c r="L31" s="3"/>
      <c r="M31" s="3"/>
      <c r="N31" s="3"/>
      <c r="O31" s="3"/>
    </row>
    <row r="32" spans="1:15" x14ac:dyDescent="0.3">
      <c r="A32">
        <v>1971</v>
      </c>
      <c r="C32" s="6">
        <v>45287957</v>
      </c>
      <c r="D32" s="6">
        <v>331935</v>
      </c>
      <c r="E32" s="6">
        <v>2912639</v>
      </c>
      <c r="F32" s="6">
        <v>575059</v>
      </c>
      <c r="G32" s="6">
        <v>41468324</v>
      </c>
      <c r="L32" s="3"/>
      <c r="M32" s="3"/>
      <c r="N32" s="3"/>
      <c r="O32" s="3"/>
    </row>
    <row r="33" spans="1:15" x14ac:dyDescent="0.3">
      <c r="A33">
        <v>1972</v>
      </c>
      <c r="C33" s="6">
        <v>50758571</v>
      </c>
      <c r="D33" s="6">
        <v>413986</v>
      </c>
      <c r="E33" s="6">
        <v>2243277</v>
      </c>
      <c r="F33" s="6">
        <v>682821</v>
      </c>
      <c r="G33" s="6">
        <v>47418487</v>
      </c>
      <c r="L33" s="3"/>
      <c r="M33" s="3"/>
      <c r="N33" s="3"/>
      <c r="O33" s="3"/>
    </row>
    <row r="34" spans="1:15" x14ac:dyDescent="0.3">
      <c r="A34">
        <v>1973</v>
      </c>
      <c r="C34" s="6">
        <v>58529266</v>
      </c>
      <c r="D34" s="6">
        <v>562003</v>
      </c>
      <c r="E34" s="6">
        <v>2164748</v>
      </c>
      <c r="F34" s="6">
        <v>344549</v>
      </c>
      <c r="G34" s="6">
        <v>55457966</v>
      </c>
      <c r="L34" s="3"/>
      <c r="M34" s="3"/>
      <c r="N34" s="3"/>
      <c r="O34" s="3"/>
    </row>
    <row r="35" spans="1:15" x14ac:dyDescent="0.3">
      <c r="A35">
        <v>1974</v>
      </c>
      <c r="C35" s="6">
        <v>66155278</v>
      </c>
      <c r="D35" s="6">
        <v>714308</v>
      </c>
      <c r="E35" s="6">
        <v>3697284</v>
      </c>
      <c r="F35" s="6">
        <v>330009</v>
      </c>
      <c r="G35" s="6">
        <v>61413677</v>
      </c>
      <c r="L35" s="3"/>
      <c r="M35" s="3"/>
      <c r="N35" s="3"/>
      <c r="O35" s="3"/>
    </row>
    <row r="36" spans="1:15" x14ac:dyDescent="0.3">
      <c r="A36">
        <v>1975</v>
      </c>
      <c r="C36" s="6">
        <v>74703403</v>
      </c>
      <c r="D36" s="6">
        <v>800169</v>
      </c>
      <c r="E36" s="6">
        <v>4882998</v>
      </c>
      <c r="F36" s="6">
        <v>207146</v>
      </c>
      <c r="G36" s="6">
        <v>68813090</v>
      </c>
      <c r="L36" s="3"/>
      <c r="M36" s="3"/>
      <c r="N36" s="3"/>
      <c r="O36" s="3"/>
    </row>
    <row r="45" spans="1:15" x14ac:dyDescent="0.3">
      <c r="C45" s="6"/>
      <c r="D45" s="6"/>
      <c r="E45" s="6"/>
      <c r="F45" s="6"/>
      <c r="G45" s="6"/>
    </row>
    <row r="46" spans="1:15" x14ac:dyDescent="0.3">
      <c r="C46" s="6"/>
      <c r="D46" s="6"/>
      <c r="E46" s="6"/>
      <c r="F46" s="6"/>
      <c r="G46" s="6"/>
    </row>
    <row r="47" spans="1:15" x14ac:dyDescent="0.3">
      <c r="C47" s="6"/>
      <c r="D47" s="6"/>
      <c r="E47" s="6"/>
      <c r="F47" s="6"/>
      <c r="G47" s="6"/>
    </row>
    <row r="48" spans="1:15" x14ac:dyDescent="0.3">
      <c r="C48" s="6"/>
      <c r="D48" s="6"/>
      <c r="E48" s="6"/>
      <c r="F48" s="6"/>
      <c r="G48" s="6"/>
    </row>
    <row r="49" spans="3:7" x14ac:dyDescent="0.3">
      <c r="C49" s="6"/>
      <c r="D49" s="6"/>
      <c r="E49" s="6"/>
      <c r="F49" s="6"/>
      <c r="G49" s="6"/>
    </row>
    <row r="50" spans="3:7" x14ac:dyDescent="0.3">
      <c r="C50" s="6"/>
      <c r="D50" s="6"/>
      <c r="E50" s="6"/>
      <c r="F50" s="6"/>
      <c r="G50" s="6"/>
    </row>
    <row r="51" spans="3:7" x14ac:dyDescent="0.3">
      <c r="C51" s="6"/>
      <c r="D51" s="6"/>
      <c r="E51" s="6"/>
      <c r="F51" s="6"/>
      <c r="G51" s="6"/>
    </row>
    <row r="52" spans="3:7" x14ac:dyDescent="0.3">
      <c r="C52" s="6"/>
      <c r="D52" s="6"/>
      <c r="E52" s="6"/>
      <c r="F52" s="6"/>
      <c r="G52" s="6"/>
    </row>
    <row r="53" spans="3:7" x14ac:dyDescent="0.3">
      <c r="C53" s="6"/>
      <c r="D53" s="6"/>
      <c r="E53" s="6"/>
      <c r="F53" s="6"/>
      <c r="G53" s="6"/>
    </row>
    <row r="54" spans="3:7" x14ac:dyDescent="0.3">
      <c r="C54" s="6"/>
      <c r="D54" s="6"/>
      <c r="E54" s="6"/>
      <c r="F54" s="6"/>
      <c r="G54" s="6"/>
    </row>
    <row r="55" spans="3:7" x14ac:dyDescent="0.3">
      <c r="C55" s="6"/>
      <c r="D55" s="6"/>
      <c r="E55" s="6"/>
      <c r="F55" s="6"/>
      <c r="G55" s="6"/>
    </row>
    <row r="56" spans="3:7" x14ac:dyDescent="0.3">
      <c r="C56" s="6"/>
      <c r="D56" s="6"/>
      <c r="E56" s="6"/>
      <c r="F56" s="6"/>
      <c r="G56" s="6"/>
    </row>
    <row r="57" spans="3:7" x14ac:dyDescent="0.3">
      <c r="C57" s="6"/>
      <c r="D57" s="6"/>
      <c r="E57" s="6"/>
      <c r="F57" s="6"/>
      <c r="G57" s="6"/>
    </row>
    <row r="58" spans="3:7" x14ac:dyDescent="0.3">
      <c r="C58" s="6"/>
      <c r="D58" s="6"/>
      <c r="E58" s="6"/>
      <c r="F58" s="6"/>
      <c r="G58" s="6"/>
    </row>
    <row r="59" spans="3:7" x14ac:dyDescent="0.3">
      <c r="C59" s="6"/>
      <c r="D59" s="6"/>
      <c r="E59" s="6"/>
      <c r="F59" s="6"/>
      <c r="G59" s="6"/>
    </row>
    <row r="60" spans="3:7" x14ac:dyDescent="0.3">
      <c r="C60" s="6"/>
      <c r="D60" s="6"/>
      <c r="E60" s="6"/>
      <c r="F60" s="6"/>
      <c r="G60" s="6"/>
    </row>
    <row r="61" spans="3:7" x14ac:dyDescent="0.3">
      <c r="C61" s="6"/>
      <c r="D61" s="6"/>
      <c r="E61" s="6"/>
      <c r="F61" s="6"/>
      <c r="G61" s="6"/>
    </row>
    <row r="62" spans="3:7" x14ac:dyDescent="0.3">
      <c r="C62" s="6"/>
      <c r="D62" s="6"/>
      <c r="E62" s="6"/>
      <c r="F62" s="6"/>
      <c r="G62" s="6"/>
    </row>
    <row r="63" spans="3:7" x14ac:dyDescent="0.3">
      <c r="C63" s="6"/>
      <c r="D63" s="6"/>
      <c r="E63" s="6"/>
      <c r="F63" s="6"/>
      <c r="G63" s="6"/>
    </row>
    <row r="64" spans="3:7" x14ac:dyDescent="0.3">
      <c r="C64" s="6"/>
      <c r="D64" s="6"/>
      <c r="E64" s="6"/>
      <c r="F64" s="6"/>
      <c r="G64" s="6"/>
    </row>
    <row r="65" spans="3:7" x14ac:dyDescent="0.3">
      <c r="C65" s="6"/>
      <c r="D65" s="6"/>
      <c r="E65" s="6"/>
      <c r="F65" s="6"/>
      <c r="G65" s="6"/>
    </row>
    <row r="66" spans="3:7" x14ac:dyDescent="0.3">
      <c r="C66" s="6"/>
      <c r="D66" s="6"/>
      <c r="E66" s="6"/>
      <c r="F66" s="6"/>
      <c r="G66" s="6"/>
    </row>
    <row r="67" spans="3:7" x14ac:dyDescent="0.3">
      <c r="C67" s="6"/>
      <c r="D67" s="6"/>
      <c r="E67" s="6"/>
      <c r="F67" s="6"/>
      <c r="G67" s="6"/>
    </row>
    <row r="68" spans="3:7" x14ac:dyDescent="0.3">
      <c r="C68" s="6"/>
      <c r="D68" s="6"/>
      <c r="E68" s="6"/>
      <c r="F68" s="6"/>
      <c r="G68" s="6"/>
    </row>
    <row r="69" spans="3:7" x14ac:dyDescent="0.3">
      <c r="C69" s="6"/>
      <c r="D69" s="6"/>
      <c r="E69" s="6"/>
      <c r="F69" s="6"/>
      <c r="G69" s="6"/>
    </row>
    <row r="70" spans="3:7" x14ac:dyDescent="0.3">
      <c r="C70" s="6"/>
      <c r="D70" s="6"/>
      <c r="E70" s="6"/>
      <c r="F70" s="6"/>
      <c r="G70" s="6"/>
    </row>
    <row r="71" spans="3:7" x14ac:dyDescent="0.3">
      <c r="C71" s="6"/>
      <c r="D71" s="6"/>
      <c r="E71" s="6"/>
      <c r="F71" s="6"/>
      <c r="G71" s="6"/>
    </row>
    <row r="72" spans="3:7" x14ac:dyDescent="0.3">
      <c r="C72" s="6"/>
      <c r="D72" s="6"/>
      <c r="E72" s="6"/>
      <c r="F72" s="6"/>
      <c r="G72" s="6"/>
    </row>
    <row r="73" spans="3:7" x14ac:dyDescent="0.3">
      <c r="C73" s="6"/>
      <c r="D73" s="6"/>
      <c r="E73" s="6"/>
      <c r="F73" s="6"/>
      <c r="G73" s="6"/>
    </row>
  </sheetData>
  <mergeCells count="1">
    <mergeCell ref="M1:O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85C799-8EC8-49D8-A9D1-6EB52FC46EA7}">
  <dimension ref="A1"/>
  <sheetViews>
    <sheetView zoomScale="73" workbookViewId="0">
      <selection activeCell="G38" sqref="G38"/>
    </sheetView>
  </sheetViews>
  <sheetFormatPr defaultRowHeight="14.4" x14ac:dyDescent="0.3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CC49D1-3AE2-412E-AF07-AA74646CEA8D}">
  <dimension ref="A1:N34"/>
  <sheetViews>
    <sheetView zoomScale="70" zoomScaleNormal="70" workbookViewId="0">
      <selection activeCell="T25" sqref="T25"/>
    </sheetView>
  </sheetViews>
  <sheetFormatPr defaultRowHeight="14.4" x14ac:dyDescent="0.3"/>
  <sheetData>
    <row r="1" spans="1:14" x14ac:dyDescent="0.3">
      <c r="A1" t="s">
        <v>135</v>
      </c>
    </row>
    <row r="4" spans="1:14" x14ac:dyDescent="0.3">
      <c r="C4" t="s">
        <v>0</v>
      </c>
      <c r="E4" t="s">
        <v>3</v>
      </c>
      <c r="F4" t="s">
        <v>2</v>
      </c>
      <c r="G4" t="s">
        <v>4</v>
      </c>
      <c r="L4" t="s">
        <v>3</v>
      </c>
      <c r="M4" t="s">
        <v>2</v>
      </c>
      <c r="N4" t="s">
        <v>4</v>
      </c>
    </row>
    <row r="5" spans="1:14" x14ac:dyDescent="0.3">
      <c r="A5">
        <v>1944</v>
      </c>
      <c r="C5" s="6">
        <f>SUM(E5:G5)</f>
        <v>1224.6400000000001</v>
      </c>
      <c r="E5" s="6">
        <f>'US Census All States'!F7/1000</f>
        <v>613.15099999999995</v>
      </c>
      <c r="F5" s="6">
        <f>'US Census All States'!E7/1000</f>
        <v>487.47300000000001</v>
      </c>
      <c r="G5" s="6">
        <f>'US Census All States'!G7/1000</f>
        <v>124.01600000000001</v>
      </c>
      <c r="L5" s="3">
        <f>(E5/$C5)*100</f>
        <v>50.0678566762477</v>
      </c>
      <c r="M5" s="3">
        <f t="shared" ref="M5:N5" si="0">(F5/$C5)*100</f>
        <v>39.805412202769794</v>
      </c>
      <c r="N5" s="3">
        <f t="shared" si="0"/>
        <v>10.126731120982493</v>
      </c>
    </row>
    <row r="6" spans="1:14" x14ac:dyDescent="0.3">
      <c r="A6">
        <v>1947</v>
      </c>
      <c r="C6" s="6">
        <f t="shared" ref="C6:C34" si="1">SUM(E6:G6)</f>
        <v>1748.8200000000002</v>
      </c>
      <c r="E6" s="6">
        <f>'US Census All States'!F8/1000</f>
        <v>364.46800000000002</v>
      </c>
      <c r="F6" s="6">
        <f>'US Census All States'!E8/1000</f>
        <v>1262.67</v>
      </c>
      <c r="G6" s="6">
        <f>'US Census All States'!G8/1000</f>
        <v>121.682</v>
      </c>
      <c r="L6" s="3">
        <f t="shared" ref="L6:L34" si="2">(E6/$C6)*100</f>
        <v>20.840795507828137</v>
      </c>
      <c r="M6" s="3">
        <f t="shared" ref="M6:M34" si="3">(F6/$C6)*100</f>
        <v>72.20125570384603</v>
      </c>
      <c r="N6" s="3">
        <f t="shared" ref="N6:N34" si="4">(G6/$C6)*100</f>
        <v>6.957948788325842</v>
      </c>
    </row>
    <row r="7" spans="1:14" x14ac:dyDescent="0.3">
      <c r="A7">
        <v>1948</v>
      </c>
      <c r="C7" s="6">
        <f t="shared" si="1"/>
        <v>2042.0539999999999</v>
      </c>
      <c r="E7" s="6">
        <f>'US Census All States'!F9/1000</f>
        <v>442.71100000000001</v>
      </c>
      <c r="F7" s="6">
        <f>'US Census All States'!E9/1000</f>
        <v>1457.8989999999999</v>
      </c>
      <c r="G7" s="6">
        <f>'US Census All States'!G9/1000</f>
        <v>141.44399999999999</v>
      </c>
      <c r="L7" s="3">
        <f t="shared" si="2"/>
        <v>21.679691134514563</v>
      </c>
      <c r="M7" s="3">
        <f t="shared" si="3"/>
        <v>71.393753544225575</v>
      </c>
      <c r="N7" s="3">
        <f t="shared" si="4"/>
        <v>6.9265553212598681</v>
      </c>
    </row>
    <row r="8" spans="1:14" x14ac:dyDescent="0.3">
      <c r="A8">
        <v>1949</v>
      </c>
      <c r="C8" s="6">
        <f t="shared" si="1"/>
        <v>2383.739</v>
      </c>
      <c r="E8" s="6">
        <f>'US Census All States'!F10/1000</f>
        <v>471.81799999999998</v>
      </c>
      <c r="F8" s="6">
        <f>'US Census All States'!E10/1000</f>
        <v>1679.25</v>
      </c>
      <c r="G8" s="6">
        <f>'US Census All States'!G10/1000</f>
        <v>232.67099999999999</v>
      </c>
      <c r="L8" s="3">
        <f t="shared" si="2"/>
        <v>19.793190445766086</v>
      </c>
      <c r="M8" s="3">
        <f t="shared" si="3"/>
        <v>70.44605135042049</v>
      </c>
      <c r="N8" s="3">
        <f t="shared" si="4"/>
        <v>9.7607582038134204</v>
      </c>
    </row>
    <row r="9" spans="1:14" x14ac:dyDescent="0.3">
      <c r="A9">
        <v>1950</v>
      </c>
      <c r="C9" s="6">
        <f t="shared" si="1"/>
        <v>2807.982</v>
      </c>
      <c r="E9" s="6">
        <f>'US Census All States'!F11/1000</f>
        <v>543.77200000000005</v>
      </c>
      <c r="F9" s="6">
        <f>'US Census All States'!E11/1000</f>
        <v>1895.752</v>
      </c>
      <c r="G9" s="6">
        <f>'US Census All States'!G11/1000</f>
        <v>368.45800000000003</v>
      </c>
      <c r="L9" s="3">
        <f t="shared" si="2"/>
        <v>19.365223851150045</v>
      </c>
      <c r="M9" s="3">
        <f t="shared" si="3"/>
        <v>67.512968387973999</v>
      </c>
      <c r="N9" s="3">
        <f t="shared" si="4"/>
        <v>13.121807760875962</v>
      </c>
    </row>
    <row r="10" spans="1:14" x14ac:dyDescent="0.3">
      <c r="A10">
        <v>1951</v>
      </c>
      <c r="C10" s="6">
        <f t="shared" si="1"/>
        <v>3378</v>
      </c>
      <c r="E10" s="6">
        <f>'US Census All States'!F12/1000</f>
        <v>570</v>
      </c>
      <c r="F10" s="6">
        <f>'US Census All States'!E12/1000</f>
        <v>2244</v>
      </c>
      <c r="G10" s="6">
        <f>'US Census All States'!G12/1000</f>
        <v>564</v>
      </c>
      <c r="L10" s="3">
        <f t="shared" si="2"/>
        <v>16.873889875666073</v>
      </c>
      <c r="M10" s="3">
        <f t="shared" si="3"/>
        <v>66.429840142095912</v>
      </c>
      <c r="N10" s="3">
        <f t="shared" si="4"/>
        <v>16.696269982238011</v>
      </c>
    </row>
    <row r="11" spans="1:14" x14ac:dyDescent="0.3">
      <c r="A11">
        <v>1952</v>
      </c>
      <c r="C11" s="6">
        <f t="shared" si="1"/>
        <v>3952</v>
      </c>
      <c r="E11" s="6">
        <f>'US Census All States'!F13/1000</f>
        <v>578</v>
      </c>
      <c r="F11" s="6">
        <f>'US Census All States'!E13/1000</f>
        <v>2539</v>
      </c>
      <c r="G11" s="6">
        <f>'US Census All States'!G13/1000</f>
        <v>835</v>
      </c>
      <c r="L11" s="3">
        <f t="shared" si="2"/>
        <v>14.625506072874494</v>
      </c>
      <c r="M11" s="3">
        <f t="shared" si="3"/>
        <v>64.245951417004051</v>
      </c>
      <c r="N11" s="3">
        <f t="shared" si="4"/>
        <v>21.128542510121456</v>
      </c>
    </row>
    <row r="12" spans="1:14" x14ac:dyDescent="0.3">
      <c r="A12">
        <v>1953</v>
      </c>
      <c r="C12" s="6">
        <f t="shared" si="1"/>
        <v>4575</v>
      </c>
      <c r="E12" s="6">
        <f>'US Census All States'!F14/1000</f>
        <v>705</v>
      </c>
      <c r="F12" s="6">
        <f>'US Census All States'!E14/1000</f>
        <v>2777</v>
      </c>
      <c r="G12" s="6">
        <f>'US Census All States'!G14/1000</f>
        <v>1093</v>
      </c>
      <c r="L12" s="3">
        <f t="shared" si="2"/>
        <v>15.409836065573771</v>
      </c>
      <c r="M12" s="3">
        <f t="shared" si="3"/>
        <v>60.699453551912562</v>
      </c>
      <c r="N12" s="3">
        <f t="shared" si="4"/>
        <v>23.89071038251366</v>
      </c>
    </row>
    <row r="13" spans="1:14" x14ac:dyDescent="0.3">
      <c r="A13">
        <v>1954</v>
      </c>
      <c r="C13" s="6">
        <f t="shared" si="1"/>
        <v>5200</v>
      </c>
      <c r="E13" s="6">
        <f>'US Census All States'!F15/1000</f>
        <v>900</v>
      </c>
      <c r="F13" s="6">
        <f>'US Census All States'!E15/1000</f>
        <v>2900</v>
      </c>
      <c r="G13" s="6">
        <f>'US Census All States'!G15/1000</f>
        <v>1400</v>
      </c>
      <c r="L13" s="3">
        <f t="shared" si="2"/>
        <v>17.307692307692307</v>
      </c>
      <c r="M13" s="3">
        <f t="shared" si="3"/>
        <v>55.769230769230774</v>
      </c>
      <c r="N13" s="3">
        <f t="shared" si="4"/>
        <v>26.923076923076923</v>
      </c>
    </row>
    <row r="14" spans="1:14" x14ac:dyDescent="0.3">
      <c r="A14">
        <v>1955</v>
      </c>
      <c r="C14" s="6">
        <f t="shared" si="1"/>
        <v>6100</v>
      </c>
      <c r="E14" s="6">
        <f>'US Census All States'!F16/1000</f>
        <v>1100</v>
      </c>
      <c r="F14" s="6">
        <f>'US Census All States'!E16/1000</f>
        <v>3100</v>
      </c>
      <c r="G14" s="6">
        <f>'US Census All States'!G16/1000</f>
        <v>1900</v>
      </c>
      <c r="L14" s="3">
        <f t="shared" si="2"/>
        <v>18.032786885245901</v>
      </c>
      <c r="M14" s="3">
        <f t="shared" si="3"/>
        <v>50.819672131147541</v>
      </c>
      <c r="N14" s="3">
        <f t="shared" si="4"/>
        <v>31.147540983606557</v>
      </c>
    </row>
    <row r="15" spans="1:14" x14ac:dyDescent="0.3">
      <c r="A15">
        <v>1956</v>
      </c>
      <c r="C15" s="6">
        <f t="shared" si="1"/>
        <v>7000</v>
      </c>
      <c r="E15" s="6">
        <f>'US Census All States'!F17/1000</f>
        <v>1300</v>
      </c>
      <c r="F15" s="6">
        <f>'US Census All States'!E17/1000</f>
        <v>3400</v>
      </c>
      <c r="G15" s="6">
        <f>'US Census All States'!G17/1000</f>
        <v>2300</v>
      </c>
      <c r="L15" s="3">
        <f t="shared" si="2"/>
        <v>18.571428571428573</v>
      </c>
      <c r="M15" s="3">
        <f t="shared" si="3"/>
        <v>48.571428571428569</v>
      </c>
      <c r="N15" s="3">
        <f t="shared" si="4"/>
        <v>32.857142857142854</v>
      </c>
    </row>
    <row r="16" spans="1:14" x14ac:dyDescent="0.3">
      <c r="A16">
        <v>1957</v>
      </c>
      <c r="C16" s="6">
        <f t="shared" si="1"/>
        <v>7939.9089999999997</v>
      </c>
      <c r="E16" s="6">
        <f>'US Census All States'!F18/1000</f>
        <v>1485.49</v>
      </c>
      <c r="F16" s="6">
        <f>'US Census All States'!E18/1000</f>
        <v>3572.8719999999998</v>
      </c>
      <c r="G16" s="6">
        <f>'US Census All States'!G18/1000</f>
        <v>2881.547</v>
      </c>
      <c r="L16" s="3">
        <f t="shared" si="2"/>
        <v>18.709156490332575</v>
      </c>
      <c r="M16" s="3">
        <f t="shared" si="3"/>
        <v>44.99890363982761</v>
      </c>
      <c r="N16" s="3">
        <f t="shared" si="4"/>
        <v>36.291939869839815</v>
      </c>
    </row>
    <row r="17" spans="1:14" x14ac:dyDescent="0.3">
      <c r="A17">
        <v>1958</v>
      </c>
      <c r="C17" s="6">
        <f t="shared" si="1"/>
        <v>9122.773000000001</v>
      </c>
      <c r="E17" s="6">
        <f>'US Census All States'!F19/1000</f>
        <v>1685.9459999999999</v>
      </c>
      <c r="F17" s="6">
        <f>'US Census All States'!E19/1000</f>
        <v>3572.038</v>
      </c>
      <c r="G17" s="6">
        <f>'US Census All States'!G19/1000</f>
        <v>3864.7890000000002</v>
      </c>
      <c r="L17" s="3">
        <f t="shared" si="2"/>
        <v>18.48063083450613</v>
      </c>
      <c r="M17" s="3">
        <f t="shared" si="3"/>
        <v>39.155177926711531</v>
      </c>
      <c r="N17" s="3">
        <f t="shared" si="4"/>
        <v>42.364191238782325</v>
      </c>
    </row>
    <row r="18" spans="1:14" x14ac:dyDescent="0.3">
      <c r="A18">
        <v>1959</v>
      </c>
      <c r="C18" s="6">
        <f t="shared" si="1"/>
        <v>10377.192999999999</v>
      </c>
      <c r="E18" s="6">
        <f>'US Census All States'!F20/1000</f>
        <v>1852.3979999999999</v>
      </c>
      <c r="F18" s="6">
        <f>'US Census All States'!E20/1000</f>
        <v>3845.8049999999998</v>
      </c>
      <c r="G18" s="6">
        <f>'US Census All States'!G20/1000</f>
        <v>4678.99</v>
      </c>
      <c r="L18" s="3">
        <f t="shared" si="2"/>
        <v>17.850665396702173</v>
      </c>
      <c r="M18" s="3">
        <f t="shared" si="3"/>
        <v>37.060166463127359</v>
      </c>
      <c r="N18" s="3">
        <f t="shared" si="4"/>
        <v>45.089168140170472</v>
      </c>
    </row>
    <row r="19" spans="1:14" x14ac:dyDescent="0.3">
      <c r="A19">
        <v>1960</v>
      </c>
      <c r="C19" s="6">
        <f t="shared" si="1"/>
        <v>12013.621999999999</v>
      </c>
      <c r="E19" s="6">
        <f>'US Census All States'!F21/1000</f>
        <v>1920.1880000000001</v>
      </c>
      <c r="F19" s="6">
        <f>'US Census All States'!E21/1000</f>
        <v>4162.1049999999996</v>
      </c>
      <c r="G19" s="6">
        <f>'US Census All States'!G21/1000</f>
        <v>5931.3289999999997</v>
      </c>
      <c r="L19" s="3">
        <f t="shared" si="2"/>
        <v>15.983422817864589</v>
      </c>
      <c r="M19" s="3">
        <f t="shared" si="3"/>
        <v>34.644880619683221</v>
      </c>
      <c r="N19" s="3">
        <f t="shared" si="4"/>
        <v>49.371696562452186</v>
      </c>
    </row>
    <row r="20" spans="1:14" x14ac:dyDescent="0.3">
      <c r="A20">
        <v>1961</v>
      </c>
      <c r="C20" s="6">
        <f t="shared" si="1"/>
        <v>13652.996999999999</v>
      </c>
      <c r="E20" s="6">
        <f>'US Census All States'!F22/1000</f>
        <v>1908.848</v>
      </c>
      <c r="F20" s="6">
        <f>'US Census All States'!E22/1000</f>
        <v>4141.5720000000001</v>
      </c>
      <c r="G20" s="6">
        <f>'US Census All States'!G22/1000</f>
        <v>7602.5770000000002</v>
      </c>
      <c r="L20" s="3">
        <f t="shared" si="2"/>
        <v>13.9811647215626</v>
      </c>
      <c r="M20" s="3">
        <f t="shared" si="3"/>
        <v>30.334526551203378</v>
      </c>
      <c r="N20" s="3">
        <f t="shared" si="4"/>
        <v>55.684308727234033</v>
      </c>
    </row>
    <row r="21" spans="1:14" x14ac:dyDescent="0.3">
      <c r="A21">
        <v>1962</v>
      </c>
      <c r="C21" s="6">
        <f t="shared" si="1"/>
        <v>15394.237000000001</v>
      </c>
      <c r="E21" s="6">
        <f>'US Census All States'!F23/1000</f>
        <v>1720.184</v>
      </c>
      <c r="F21" s="6">
        <f>'US Census All States'!E23/1000</f>
        <v>4149.26</v>
      </c>
      <c r="G21" s="6">
        <f>'US Census All States'!G23/1000</f>
        <v>9524.7929999999997</v>
      </c>
      <c r="L21" s="3">
        <f t="shared" si="2"/>
        <v>11.174207594699235</v>
      </c>
      <c r="M21" s="3">
        <f t="shared" si="3"/>
        <v>26.953333250618392</v>
      </c>
      <c r="N21" s="3">
        <f t="shared" si="4"/>
        <v>61.87245915468236</v>
      </c>
    </row>
    <row r="22" spans="1:14" x14ac:dyDescent="0.3">
      <c r="A22">
        <v>1963</v>
      </c>
      <c r="C22" s="6">
        <f t="shared" si="1"/>
        <v>17306.018</v>
      </c>
      <c r="E22" s="6">
        <f>'US Census All States'!F24/1000</f>
        <v>1406.662</v>
      </c>
      <c r="F22" s="6">
        <f>'US Census All States'!E24/1000</f>
        <v>4470.5010000000002</v>
      </c>
      <c r="G22" s="6">
        <f>'US Census All States'!G24/1000</f>
        <v>11428.855</v>
      </c>
      <c r="L22" s="3">
        <f t="shared" si="2"/>
        <v>8.1281667452327859</v>
      </c>
      <c r="M22" s="3">
        <f t="shared" si="3"/>
        <v>25.832060269439221</v>
      </c>
      <c r="N22" s="3">
        <f t="shared" si="4"/>
        <v>66.039772985328</v>
      </c>
    </row>
    <row r="23" spans="1:14" x14ac:dyDescent="0.3">
      <c r="A23">
        <v>1964</v>
      </c>
      <c r="C23" s="6">
        <f t="shared" si="1"/>
        <v>19580.477999999999</v>
      </c>
      <c r="E23" s="6">
        <f>'US Census All States'!F25/1000</f>
        <v>1153.673</v>
      </c>
      <c r="F23" s="6">
        <f>'US Census All States'!E25/1000</f>
        <v>4775.6319999999996</v>
      </c>
      <c r="G23" s="6">
        <f>'US Census All States'!G25/1000</f>
        <v>13651.173000000001</v>
      </c>
      <c r="L23" s="3">
        <f t="shared" si="2"/>
        <v>5.8919552423592521</v>
      </c>
      <c r="M23" s="3">
        <f t="shared" si="3"/>
        <v>24.389762088545538</v>
      </c>
      <c r="N23" s="3">
        <f t="shared" si="4"/>
        <v>69.718282669095217</v>
      </c>
    </row>
    <row r="24" spans="1:14" x14ac:dyDescent="0.3">
      <c r="A24">
        <v>1965</v>
      </c>
      <c r="C24" s="6">
        <f t="shared" si="1"/>
        <v>21940.39</v>
      </c>
      <c r="E24" s="6">
        <f>'US Census All States'!F26/1000</f>
        <v>941.48</v>
      </c>
      <c r="F24" s="6">
        <f>'US Census All States'!E26/1000</f>
        <v>5186.201</v>
      </c>
      <c r="G24" s="6">
        <f>'US Census All States'!G26/1000</f>
        <v>15812.709000000001</v>
      </c>
      <c r="L24" s="3">
        <f t="shared" si="2"/>
        <v>4.2910814256264365</v>
      </c>
      <c r="M24" s="3">
        <f t="shared" si="3"/>
        <v>23.637688299980084</v>
      </c>
      <c r="N24" s="3">
        <f t="shared" si="4"/>
        <v>72.071230274393486</v>
      </c>
    </row>
    <row r="25" spans="1:14" x14ac:dyDescent="0.3">
      <c r="A25">
        <v>1966</v>
      </c>
      <c r="C25" s="6">
        <f t="shared" si="1"/>
        <v>24522.788</v>
      </c>
      <c r="E25" s="6">
        <f>'US Census All States'!F27/1000</f>
        <v>758.71900000000005</v>
      </c>
      <c r="F25" s="6">
        <f>'US Census All States'!E27/1000</f>
        <v>4952.3040000000001</v>
      </c>
      <c r="G25" s="6">
        <f>'US Census All States'!G27/1000</f>
        <v>18811.764999999999</v>
      </c>
      <c r="L25" s="3">
        <f t="shared" si="2"/>
        <v>3.0939345069573654</v>
      </c>
      <c r="M25" s="3">
        <f t="shared" si="3"/>
        <v>20.194702168448384</v>
      </c>
      <c r="N25" s="3">
        <f t="shared" si="4"/>
        <v>76.711363324594245</v>
      </c>
    </row>
    <row r="26" spans="1:14" x14ac:dyDescent="0.3">
      <c r="A26">
        <v>1967</v>
      </c>
      <c r="C26" s="6">
        <f t="shared" si="1"/>
        <v>27425.231999999996</v>
      </c>
      <c r="E26" s="6">
        <f>'US Census All States'!F28/1000</f>
        <v>701.99800000000005</v>
      </c>
      <c r="F26" s="6">
        <f>'US Census All States'!E28/1000</f>
        <v>4589.5280000000002</v>
      </c>
      <c r="G26" s="6">
        <f>'US Census All States'!G28/1000</f>
        <v>22133.705999999998</v>
      </c>
      <c r="L26" s="3">
        <f t="shared" si="2"/>
        <v>2.5596793492941106</v>
      </c>
      <c r="M26" s="3">
        <f t="shared" si="3"/>
        <v>16.734691615370842</v>
      </c>
      <c r="N26" s="3">
        <f t="shared" si="4"/>
        <v>80.705629035335065</v>
      </c>
    </row>
    <row r="27" spans="1:14" x14ac:dyDescent="0.3">
      <c r="A27">
        <v>1968</v>
      </c>
      <c r="C27" s="6">
        <f t="shared" si="1"/>
        <v>30841.339</v>
      </c>
      <c r="E27" s="6">
        <f>'US Census All States'!F29/1000</f>
        <v>674.61099999999999</v>
      </c>
      <c r="F27" s="6">
        <f>'US Census All States'!E29/1000</f>
        <v>4120.3360000000002</v>
      </c>
      <c r="G27" s="6">
        <f>'US Census All States'!G29/1000</f>
        <v>26046.392</v>
      </c>
      <c r="L27" s="3">
        <f t="shared" si="2"/>
        <v>2.1873596344179478</v>
      </c>
      <c r="M27" s="3">
        <f t="shared" si="3"/>
        <v>13.359783114475023</v>
      </c>
      <c r="N27" s="3">
        <f t="shared" si="4"/>
        <v>84.452857251107034</v>
      </c>
    </row>
    <row r="28" spans="1:14" x14ac:dyDescent="0.3">
      <c r="A28">
        <v>1969</v>
      </c>
      <c r="C28" s="6">
        <f t="shared" si="1"/>
        <v>34991.279999999999</v>
      </c>
      <c r="E28" s="6">
        <f>'US Census All States'!F30/1000</f>
        <v>565.87</v>
      </c>
      <c r="F28" s="6">
        <f>'US Census All States'!E30/1000</f>
        <v>3814.2060000000001</v>
      </c>
      <c r="G28" s="6">
        <f>'US Census All States'!G30/1000</f>
        <v>30611.204000000002</v>
      </c>
      <c r="L28" s="3">
        <f t="shared" si="2"/>
        <v>1.6171743360059991</v>
      </c>
      <c r="M28" s="3">
        <f t="shared" si="3"/>
        <v>10.900447197130257</v>
      </c>
      <c r="N28" s="3">
        <f t="shared" si="4"/>
        <v>87.48237846686375</v>
      </c>
    </row>
    <row r="29" spans="1:14" x14ac:dyDescent="0.3">
      <c r="A29">
        <v>1970</v>
      </c>
      <c r="C29" s="6">
        <f t="shared" si="1"/>
        <v>39716.034</v>
      </c>
      <c r="E29" s="6">
        <f>'US Census All States'!F31/1000</f>
        <v>561.98</v>
      </c>
      <c r="F29" s="6">
        <f>'US Census All States'!E31/1000</f>
        <v>3241.6469999999999</v>
      </c>
      <c r="G29" s="6">
        <f>'US Census All States'!G31/1000</f>
        <v>35912.406999999999</v>
      </c>
      <c r="L29" s="3">
        <f t="shared" si="2"/>
        <v>1.414995263625769</v>
      </c>
      <c r="M29" s="3">
        <f t="shared" si="3"/>
        <v>8.1620611967448706</v>
      </c>
      <c r="N29" s="3">
        <f t="shared" si="4"/>
        <v>90.422943539629358</v>
      </c>
    </row>
    <row r="30" spans="1:14" x14ac:dyDescent="0.3">
      <c r="A30">
        <v>1971</v>
      </c>
      <c r="C30" s="6">
        <f t="shared" si="1"/>
        <v>44956.021999999997</v>
      </c>
      <c r="E30" s="6">
        <f>'US Census All States'!F32/1000</f>
        <v>575.05899999999997</v>
      </c>
      <c r="F30" s="6">
        <f>'US Census All States'!E32/1000</f>
        <v>2912.6390000000001</v>
      </c>
      <c r="G30" s="6">
        <f>'US Census All States'!G32/1000</f>
        <v>41468.324000000001</v>
      </c>
      <c r="L30" s="3">
        <f t="shared" si="2"/>
        <v>1.2791589967635482</v>
      </c>
      <c r="M30" s="3">
        <f t="shared" si="3"/>
        <v>6.4788628317692343</v>
      </c>
      <c r="N30" s="3">
        <f t="shared" si="4"/>
        <v>92.241978171467224</v>
      </c>
    </row>
    <row r="31" spans="1:14" x14ac:dyDescent="0.3">
      <c r="A31">
        <v>1972</v>
      </c>
      <c r="C31" s="6">
        <f t="shared" si="1"/>
        <v>50344.584999999999</v>
      </c>
      <c r="E31" s="6">
        <f>'US Census All States'!F33/1000</f>
        <v>682.82100000000003</v>
      </c>
      <c r="F31" s="6">
        <f>'US Census All States'!E33/1000</f>
        <v>2243.277</v>
      </c>
      <c r="G31" s="6">
        <f>'US Census All States'!G33/1000</f>
        <v>47418.487000000001</v>
      </c>
      <c r="L31" s="3">
        <f t="shared" si="2"/>
        <v>1.3562948229685476</v>
      </c>
      <c r="M31" s="3">
        <f t="shared" si="3"/>
        <v>4.4558456485439306</v>
      </c>
      <c r="N31" s="3">
        <f t="shared" si="4"/>
        <v>94.187859528487522</v>
      </c>
    </row>
    <row r="32" spans="1:14" x14ac:dyDescent="0.3">
      <c r="A32">
        <v>1973</v>
      </c>
      <c r="C32" s="6">
        <f t="shared" si="1"/>
        <v>57967.262999999999</v>
      </c>
      <c r="E32" s="6">
        <f>'US Census All States'!F34/1000</f>
        <v>344.54899999999998</v>
      </c>
      <c r="F32" s="6">
        <f>'US Census All States'!E34/1000</f>
        <v>2164.748</v>
      </c>
      <c r="G32" s="6">
        <f>'US Census All States'!G34/1000</f>
        <v>55457.966</v>
      </c>
      <c r="L32" s="3">
        <f t="shared" si="2"/>
        <v>0.59438548961678583</v>
      </c>
      <c r="M32" s="3">
        <f t="shared" si="3"/>
        <v>3.7344319672295034</v>
      </c>
      <c r="N32" s="3">
        <f t="shared" si="4"/>
        <v>95.671182543153705</v>
      </c>
    </row>
    <row r="33" spans="1:14" x14ac:dyDescent="0.3">
      <c r="A33">
        <v>1974</v>
      </c>
      <c r="C33" s="6">
        <f t="shared" si="1"/>
        <v>65440.97</v>
      </c>
      <c r="E33" s="6">
        <f>'US Census All States'!F35/1000</f>
        <v>330.00900000000001</v>
      </c>
      <c r="F33" s="6">
        <f>'US Census All States'!E35/1000</f>
        <v>3697.2840000000001</v>
      </c>
      <c r="G33" s="6">
        <f>'US Census All States'!G35/1000</f>
        <v>61413.677000000003</v>
      </c>
      <c r="L33" s="3">
        <f t="shared" si="2"/>
        <v>0.50428500677786414</v>
      </c>
      <c r="M33" s="3">
        <f t="shared" si="3"/>
        <v>5.6498001175716075</v>
      </c>
      <c r="N33" s="3">
        <f t="shared" si="4"/>
        <v>93.845914875650536</v>
      </c>
    </row>
    <row r="34" spans="1:14" x14ac:dyDescent="0.3">
      <c r="A34">
        <v>1975</v>
      </c>
      <c r="C34" s="6">
        <f t="shared" si="1"/>
        <v>73903.233999999997</v>
      </c>
      <c r="E34" s="6">
        <f>'US Census All States'!F36/1000</f>
        <v>207.14599999999999</v>
      </c>
      <c r="F34" s="6">
        <f>'US Census All States'!E36/1000</f>
        <v>4882.9979999999996</v>
      </c>
      <c r="G34" s="6">
        <f>'US Census All States'!G36/1000</f>
        <v>68813.09</v>
      </c>
      <c r="L34" s="3">
        <f t="shared" si="2"/>
        <v>0.28029355251219457</v>
      </c>
      <c r="M34" s="3">
        <f t="shared" si="3"/>
        <v>6.6072859544955769</v>
      </c>
      <c r="N34" s="3">
        <f t="shared" si="4"/>
        <v>93.112420492992229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3BFF8B-7D44-4BF6-A746-F028B94FB2AC}">
  <dimension ref="A1:V43"/>
  <sheetViews>
    <sheetView zoomScale="55" zoomScaleNormal="55" workbookViewId="0">
      <selection activeCell="J22" sqref="J22"/>
    </sheetView>
  </sheetViews>
  <sheetFormatPr defaultRowHeight="14.4" x14ac:dyDescent="0.3"/>
  <cols>
    <col min="3" max="3" width="17.6640625" customWidth="1"/>
    <col min="4" max="4" width="17.44140625" customWidth="1"/>
    <col min="5" max="5" width="17.6640625" customWidth="1"/>
    <col min="6" max="6" width="18.6640625" customWidth="1"/>
    <col min="7" max="7" width="15.44140625" customWidth="1"/>
    <col min="8" max="8" width="14.6640625" customWidth="1"/>
    <col min="9" max="9" width="13.5546875" bestFit="1" customWidth="1"/>
    <col min="10" max="10" width="15.6640625" customWidth="1"/>
    <col min="11" max="11" width="17.109375" customWidth="1"/>
    <col min="12" max="12" width="12.21875" customWidth="1"/>
    <col min="13" max="13" width="16.44140625" customWidth="1"/>
    <col min="14" max="14" width="10" customWidth="1"/>
    <col min="15" max="15" width="15.21875" bestFit="1" customWidth="1"/>
    <col min="16" max="16" width="15.6640625" bestFit="1" customWidth="1"/>
    <col min="17" max="17" width="11" bestFit="1" customWidth="1"/>
    <col min="18" max="20" width="10" bestFit="1" customWidth="1"/>
    <col min="21" max="22" width="10" customWidth="1"/>
    <col min="23" max="23" width="11" bestFit="1" customWidth="1"/>
    <col min="24" max="24" width="11" customWidth="1"/>
  </cols>
  <sheetData>
    <row r="1" spans="1:15" x14ac:dyDescent="0.3">
      <c r="A1" t="s">
        <v>48</v>
      </c>
    </row>
    <row r="2" spans="1:15" x14ac:dyDescent="0.3">
      <c r="A2" t="s">
        <v>49</v>
      </c>
    </row>
    <row r="7" spans="1:15" x14ac:dyDescent="0.3">
      <c r="C7" s="38" t="s">
        <v>50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</row>
    <row r="8" spans="1:15" x14ac:dyDescent="0.3">
      <c r="C8" t="s">
        <v>7</v>
      </c>
      <c r="D8" t="s">
        <v>8</v>
      </c>
      <c r="E8" t="s">
        <v>11</v>
      </c>
      <c r="F8" t="s">
        <v>12</v>
      </c>
      <c r="G8" t="s">
        <v>13</v>
      </c>
      <c r="H8" t="s">
        <v>14</v>
      </c>
      <c r="I8" t="s">
        <v>15</v>
      </c>
      <c r="J8" t="s">
        <v>16</v>
      </c>
      <c r="K8" t="s">
        <v>19</v>
      </c>
      <c r="L8" t="s">
        <v>20</v>
      </c>
      <c r="M8" t="s">
        <v>21</v>
      </c>
      <c r="N8" t="s">
        <v>17</v>
      </c>
      <c r="O8" t="s">
        <v>9</v>
      </c>
    </row>
    <row r="10" spans="1:15" x14ac:dyDescent="0.3">
      <c r="A10">
        <v>1943</v>
      </c>
      <c r="C10" s="6">
        <v>0</v>
      </c>
      <c r="D10" s="6">
        <f>SUM(100000,50000)</f>
        <v>150000</v>
      </c>
      <c r="E10" s="6">
        <f>SUM(1083942.45,1181259.97)</f>
        <v>2265202.42</v>
      </c>
      <c r="F10" s="6">
        <f>SUM(1893353.7,2048347.39)</f>
        <v>3941701.09</v>
      </c>
      <c r="G10" s="6">
        <v>0</v>
      </c>
      <c r="H10" s="6">
        <v>0</v>
      </c>
      <c r="I10" s="6">
        <v>0</v>
      </c>
      <c r="J10" s="6">
        <v>0</v>
      </c>
      <c r="K10" s="6"/>
      <c r="L10" s="6"/>
      <c r="M10" s="6"/>
      <c r="N10" s="6">
        <v>145009.79999999999</v>
      </c>
      <c r="O10" s="6">
        <f>SUM(3077296.15,3424617.16)</f>
        <v>6501913.3100000005</v>
      </c>
    </row>
    <row r="11" spans="1:15" x14ac:dyDescent="0.3">
      <c r="A11">
        <v>1944</v>
      </c>
      <c r="C11" s="6">
        <v>0</v>
      </c>
      <c r="D11" s="6">
        <f>SUM(1302013.2,3378020)</f>
        <v>4680033.2</v>
      </c>
      <c r="E11" s="6">
        <f>SUM(1194151.54,1131922.96)</f>
        <v>2326074.5</v>
      </c>
      <c r="F11" s="6">
        <f>SUM(2311527.66,1833763.04)</f>
        <v>4145290.7</v>
      </c>
      <c r="G11" s="6">
        <v>0</v>
      </c>
      <c r="H11" s="6">
        <v>0</v>
      </c>
      <c r="I11" s="6">
        <v>0</v>
      </c>
      <c r="J11" s="6">
        <v>0</v>
      </c>
      <c r="K11" s="6"/>
      <c r="L11" s="6"/>
      <c r="M11" s="6"/>
      <c r="N11" s="6"/>
      <c r="O11" s="6">
        <f>SUM(4807692.4,6343706)</f>
        <v>11151398.4</v>
      </c>
    </row>
    <row r="12" spans="1:15" x14ac:dyDescent="0.3">
      <c r="A12">
        <v>1945</v>
      </c>
      <c r="C12" s="6">
        <v>0</v>
      </c>
      <c r="D12" s="6">
        <f>SUM(2603340.54,6028158)</f>
        <v>8631498.5399999991</v>
      </c>
      <c r="E12" s="6">
        <f>SUM(1409208.8,1106469.47)</f>
        <v>2515678.27</v>
      </c>
      <c r="F12" s="6">
        <f>SUM(2540284.62,1804010.46)</f>
        <v>4344295.08</v>
      </c>
      <c r="G12" s="6">
        <v>0</v>
      </c>
      <c r="H12" s="6">
        <v>0</v>
      </c>
      <c r="I12" s="6">
        <v>0</v>
      </c>
      <c r="J12" s="6">
        <v>0</v>
      </c>
      <c r="K12" s="6"/>
      <c r="L12" s="6"/>
      <c r="M12" s="6"/>
      <c r="N12" s="6"/>
      <c r="O12" s="6">
        <f>SUM(6552833.96,8938637.93)</f>
        <v>15491471.890000001</v>
      </c>
    </row>
    <row r="13" spans="1:15" x14ac:dyDescent="0.3">
      <c r="A13">
        <v>1946</v>
      </c>
      <c r="C13" s="6">
        <v>0</v>
      </c>
      <c r="D13" s="6">
        <f>SUM(5702219.95,11527219.94)</f>
        <v>17229439.890000001</v>
      </c>
      <c r="E13" s="6">
        <f>SUM(816189.12,255190.18)</f>
        <v>1071379.3</v>
      </c>
      <c r="F13" s="6">
        <f>SUM(1411396.15,451036.31)</f>
        <v>1862432.46</v>
      </c>
      <c r="G13" s="6">
        <v>0</v>
      </c>
      <c r="H13" s="6">
        <v>0</v>
      </c>
      <c r="I13" s="6">
        <v>0</v>
      </c>
      <c r="J13" s="6">
        <v>0</v>
      </c>
      <c r="K13" s="6"/>
      <c r="L13" s="6"/>
      <c r="M13" s="6"/>
      <c r="N13" s="6"/>
      <c r="O13" s="6">
        <f>SUM(7929805.22,12233446.43)</f>
        <v>20163251.649999999</v>
      </c>
    </row>
    <row r="14" spans="1:15" x14ac:dyDescent="0.3">
      <c r="A14">
        <v>1947</v>
      </c>
      <c r="C14" s="6">
        <v>0</v>
      </c>
      <c r="D14" s="6">
        <f>SUM(7641225.5,15012937.62)</f>
        <v>22654163.119999997</v>
      </c>
      <c r="E14" s="6">
        <f>SUM(975897.25,249603.77)</f>
        <v>1225501.02</v>
      </c>
      <c r="F14" s="6">
        <f>SUM(2590568.19,442878.66)</f>
        <v>3033446.85</v>
      </c>
      <c r="G14" s="6">
        <v>0</v>
      </c>
      <c r="H14" s="6">
        <v>0</v>
      </c>
      <c r="I14" s="6">
        <v>0</v>
      </c>
      <c r="J14" s="6">
        <v>0</v>
      </c>
      <c r="K14" s="6"/>
      <c r="L14" s="6"/>
      <c r="M14" s="6"/>
      <c r="N14" s="6"/>
      <c r="O14" s="6">
        <f>SUM(11207690.94,15705420.05)</f>
        <v>26913110.990000002</v>
      </c>
    </row>
    <row r="15" spans="1:15" x14ac:dyDescent="0.3">
      <c r="A15">
        <v>1948</v>
      </c>
      <c r="C15" s="6">
        <v>0</v>
      </c>
      <c r="D15" s="6">
        <f>SUM(8039214.5,19875318.24)</f>
        <v>27914532.739999998</v>
      </c>
      <c r="E15" s="6">
        <f>SUM(1748847.15,382696.85)</f>
        <v>2131544</v>
      </c>
      <c r="F15" s="6">
        <f>SUM(4836670.66,890178.92)</f>
        <v>5726849.5800000001</v>
      </c>
      <c r="G15" s="6">
        <v>0</v>
      </c>
      <c r="H15" s="6">
        <v>0</v>
      </c>
      <c r="I15" s="6">
        <v>0</v>
      </c>
      <c r="J15" s="6">
        <v>0</v>
      </c>
      <c r="K15" s="6"/>
      <c r="L15" s="6"/>
      <c r="M15" s="6"/>
      <c r="N15" s="6"/>
      <c r="O15" s="6">
        <f>SUM(14624732.31,21148194.01)</f>
        <v>35772926.32</v>
      </c>
    </row>
    <row r="16" spans="1:15" x14ac:dyDescent="0.3">
      <c r="A16">
        <v>1949</v>
      </c>
      <c r="C16" s="6">
        <v>0</v>
      </c>
      <c r="D16" s="6">
        <v>30743628.66</v>
      </c>
      <c r="E16" s="6">
        <v>5242187.37</v>
      </c>
      <c r="F16" s="6">
        <v>13764990.68</v>
      </c>
      <c r="G16" s="6">
        <v>0</v>
      </c>
      <c r="H16" s="6">
        <v>0</v>
      </c>
      <c r="I16" s="6">
        <v>0</v>
      </c>
      <c r="J16" s="6">
        <v>0</v>
      </c>
      <c r="K16" s="6"/>
      <c r="L16" s="6"/>
      <c r="M16" s="6"/>
      <c r="N16" s="6"/>
      <c r="O16" s="6">
        <v>49750806.710000001</v>
      </c>
    </row>
    <row r="17" spans="1:22" x14ac:dyDescent="0.3">
      <c r="A17">
        <v>1950</v>
      </c>
      <c r="C17" s="6">
        <v>0</v>
      </c>
      <c r="D17" s="6">
        <v>43977775.840000004</v>
      </c>
      <c r="E17" s="6">
        <v>6468962.3700000001</v>
      </c>
      <c r="F17" s="6">
        <v>15003085.039999999</v>
      </c>
      <c r="G17" s="6">
        <v>0</v>
      </c>
      <c r="H17" s="6">
        <v>0</v>
      </c>
      <c r="I17" s="6">
        <v>0</v>
      </c>
      <c r="J17" s="6">
        <v>0</v>
      </c>
      <c r="K17" s="6"/>
      <c r="L17" s="6"/>
      <c r="M17" s="6"/>
      <c r="N17" s="6"/>
      <c r="O17" s="6">
        <v>65449823.25</v>
      </c>
    </row>
    <row r="18" spans="1:22" x14ac:dyDescent="0.3">
      <c r="A18">
        <v>1951</v>
      </c>
      <c r="C18" s="6">
        <v>0</v>
      </c>
      <c r="D18" s="6">
        <v>60968775.219999999</v>
      </c>
      <c r="E18" s="6">
        <v>5882918.7699999996</v>
      </c>
      <c r="F18" s="6">
        <v>13563756.109999999</v>
      </c>
      <c r="G18" s="6">
        <v>0</v>
      </c>
      <c r="H18" s="6">
        <v>0</v>
      </c>
      <c r="I18" s="6">
        <v>0</v>
      </c>
      <c r="J18" s="6">
        <v>0</v>
      </c>
      <c r="K18" s="6"/>
      <c r="L18" s="6"/>
      <c r="M18" s="6"/>
      <c r="N18" s="6"/>
      <c r="O18" s="6">
        <v>80415450.099999994</v>
      </c>
    </row>
    <row r="19" spans="1:22" x14ac:dyDescent="0.3">
      <c r="A19">
        <v>1952</v>
      </c>
      <c r="C19" s="6">
        <v>0</v>
      </c>
      <c r="D19" s="6">
        <v>80841992.230000004</v>
      </c>
      <c r="E19" s="6">
        <v>6536457.6299999999</v>
      </c>
      <c r="F19" s="6">
        <v>13290347.810000001</v>
      </c>
      <c r="G19" s="6">
        <v>0</v>
      </c>
      <c r="H19" s="6">
        <v>0</v>
      </c>
      <c r="I19" s="6">
        <v>0</v>
      </c>
      <c r="J19" s="6">
        <v>0</v>
      </c>
      <c r="K19" s="6"/>
      <c r="L19" s="6"/>
      <c r="M19" s="6"/>
      <c r="N19" s="6"/>
      <c r="O19" s="6">
        <v>100668797.67</v>
      </c>
    </row>
    <row r="20" spans="1:22" x14ac:dyDescent="0.3">
      <c r="A20">
        <v>1953</v>
      </c>
      <c r="C20" s="6">
        <v>0</v>
      </c>
      <c r="D20" s="6">
        <v>96463294.730000004</v>
      </c>
      <c r="E20" s="6">
        <v>8594318.3800000008</v>
      </c>
      <c r="F20" s="6">
        <v>13770938.890000001</v>
      </c>
      <c r="G20" s="6">
        <v>2421709.29</v>
      </c>
      <c r="H20" s="6">
        <v>0</v>
      </c>
      <c r="I20" s="6">
        <v>0</v>
      </c>
      <c r="J20" s="6">
        <v>0</v>
      </c>
      <c r="K20" s="6"/>
      <c r="L20" s="6"/>
      <c r="M20" s="6"/>
      <c r="N20" s="6"/>
      <c r="O20" s="6">
        <v>121240261.29000001</v>
      </c>
    </row>
    <row r="21" spans="1:22" x14ac:dyDescent="0.3">
      <c r="A21">
        <v>1954</v>
      </c>
      <c r="C21" s="6">
        <v>0</v>
      </c>
      <c r="D21" s="6">
        <v>117062447.68000001</v>
      </c>
      <c r="E21" s="6">
        <v>9495387.5</v>
      </c>
      <c r="F21" s="6">
        <v>14633264.939999999</v>
      </c>
      <c r="G21" s="6">
        <v>2480895.2799999998</v>
      </c>
      <c r="H21" s="6">
        <v>0</v>
      </c>
      <c r="I21" s="6">
        <v>0</v>
      </c>
      <c r="J21" s="6">
        <v>0</v>
      </c>
      <c r="K21" s="6"/>
      <c r="L21" s="6"/>
      <c r="M21" s="6"/>
      <c r="N21" s="6"/>
      <c r="O21" s="6">
        <v>143671995.40000001</v>
      </c>
    </row>
    <row r="22" spans="1:22" x14ac:dyDescent="0.3">
      <c r="A22">
        <v>1955</v>
      </c>
      <c r="C22" s="6">
        <v>0</v>
      </c>
      <c r="D22" s="6">
        <v>144279372.59</v>
      </c>
      <c r="E22" s="6">
        <v>10247651.310000001</v>
      </c>
      <c r="F22" s="6">
        <v>15318943.710000001</v>
      </c>
      <c r="G22" s="6">
        <v>0</v>
      </c>
      <c r="H22" s="6">
        <v>0</v>
      </c>
      <c r="I22" s="6">
        <v>0</v>
      </c>
      <c r="J22" s="6">
        <v>0</v>
      </c>
      <c r="K22" s="6"/>
      <c r="L22" s="6"/>
      <c r="M22" s="6"/>
      <c r="N22" s="6"/>
      <c r="O22" s="6">
        <v>169845967.61000001</v>
      </c>
    </row>
    <row r="23" spans="1:22" x14ac:dyDescent="0.3">
      <c r="A23">
        <v>1956</v>
      </c>
      <c r="C23" s="6">
        <v>0</v>
      </c>
      <c r="D23" s="6">
        <v>164354996.40000001</v>
      </c>
      <c r="E23" s="6">
        <v>11335973.619999999</v>
      </c>
      <c r="F23" s="6">
        <v>16784358.93</v>
      </c>
      <c r="G23" s="6">
        <v>0</v>
      </c>
      <c r="H23" s="6">
        <v>0</v>
      </c>
      <c r="I23" s="6">
        <v>0</v>
      </c>
      <c r="J23" s="6">
        <v>0</v>
      </c>
      <c r="K23" s="6"/>
      <c r="L23" s="6"/>
      <c r="M23" s="6"/>
      <c r="N23" s="6"/>
      <c r="O23" s="6">
        <v>192475328.94999999</v>
      </c>
      <c r="U23" s="2"/>
      <c r="V23" s="2"/>
    </row>
    <row r="24" spans="1:22" x14ac:dyDescent="0.3">
      <c r="A24">
        <v>1957</v>
      </c>
      <c r="C24" s="6">
        <v>0</v>
      </c>
      <c r="D24" s="6">
        <v>160481751.5</v>
      </c>
      <c r="E24" s="6">
        <v>17409871.949999999</v>
      </c>
      <c r="F24" s="6">
        <v>20132033.239999998</v>
      </c>
      <c r="G24" s="6">
        <v>1578707.34</v>
      </c>
      <c r="H24" s="6">
        <v>281079.25</v>
      </c>
      <c r="I24" s="6">
        <v>0</v>
      </c>
      <c r="J24" s="6">
        <v>0</v>
      </c>
      <c r="K24" s="6"/>
      <c r="L24" s="6"/>
      <c r="M24" s="6"/>
      <c r="N24" s="6"/>
      <c r="O24" s="6">
        <v>199883443.28</v>
      </c>
    </row>
    <row r="25" spans="1:22" x14ac:dyDescent="0.3">
      <c r="A25">
        <v>1958</v>
      </c>
      <c r="C25" s="6">
        <v>39228851.719999999</v>
      </c>
      <c r="D25" s="6">
        <v>139065420.16</v>
      </c>
      <c r="E25" s="6">
        <v>18525446.420000002</v>
      </c>
      <c r="F25" s="6">
        <v>20780588.579999998</v>
      </c>
      <c r="G25" s="6">
        <v>1577920.84</v>
      </c>
      <c r="H25" s="6">
        <v>694256.01</v>
      </c>
      <c r="I25" s="6">
        <v>0</v>
      </c>
      <c r="J25" s="6">
        <v>0</v>
      </c>
      <c r="K25" s="6"/>
      <c r="L25" s="6"/>
      <c r="M25" s="6"/>
      <c r="N25" s="6"/>
      <c r="O25" s="6">
        <v>219872483.72999999</v>
      </c>
    </row>
    <row r="26" spans="1:22" x14ac:dyDescent="0.3">
      <c r="A26">
        <v>1959</v>
      </c>
      <c r="C26" s="6">
        <v>61959086.759999998</v>
      </c>
      <c r="D26" s="6">
        <v>142859865.31</v>
      </c>
      <c r="E26" s="6">
        <v>15903993.949999999</v>
      </c>
      <c r="F26" s="6">
        <v>17758291.379999999</v>
      </c>
      <c r="G26" s="6">
        <v>1528915.07</v>
      </c>
      <c r="H26" s="6">
        <v>642562.39</v>
      </c>
      <c r="I26" s="6">
        <v>0</v>
      </c>
      <c r="J26" s="6">
        <v>0</v>
      </c>
      <c r="K26" s="6"/>
      <c r="L26" s="6"/>
      <c r="M26" s="6"/>
      <c r="N26" s="6"/>
      <c r="O26" s="6">
        <v>240652714.86000001</v>
      </c>
    </row>
    <row r="27" spans="1:22" x14ac:dyDescent="0.3">
      <c r="A27">
        <v>1960</v>
      </c>
      <c r="C27" s="6">
        <v>84386434.829999998</v>
      </c>
      <c r="D27" s="6">
        <v>144375664.78</v>
      </c>
      <c r="E27" s="6">
        <v>15469376.720000001</v>
      </c>
      <c r="F27" s="6">
        <v>17156003.73</v>
      </c>
      <c r="G27" s="6">
        <v>1230084.8899999999</v>
      </c>
      <c r="H27" s="6">
        <v>549479.04</v>
      </c>
      <c r="I27" s="6">
        <v>0</v>
      </c>
      <c r="J27" s="6">
        <v>0</v>
      </c>
      <c r="K27" s="6"/>
      <c r="L27" s="6"/>
      <c r="M27" s="6"/>
      <c r="N27" s="6"/>
      <c r="O27" s="6">
        <v>263167043.99000001</v>
      </c>
    </row>
    <row r="28" spans="1:22" x14ac:dyDescent="0.3">
      <c r="A28">
        <v>1961</v>
      </c>
      <c r="C28" s="6">
        <v>102338909.17</v>
      </c>
      <c r="D28" s="6">
        <v>134260057.44</v>
      </c>
      <c r="E28" s="6">
        <v>14602920.26</v>
      </c>
      <c r="F28" s="6">
        <v>15389262.9</v>
      </c>
      <c r="G28" s="6">
        <v>1241172.33</v>
      </c>
      <c r="H28" s="6">
        <v>532014.28</v>
      </c>
      <c r="I28" s="6">
        <v>18911552.199999999</v>
      </c>
      <c r="J28" s="6">
        <v>0</v>
      </c>
      <c r="K28" s="6"/>
      <c r="L28" s="6"/>
      <c r="M28" s="6"/>
      <c r="N28" s="6"/>
      <c r="O28" s="6">
        <v>287275888.57999998</v>
      </c>
    </row>
    <row r="29" spans="1:22" x14ac:dyDescent="0.3">
      <c r="A29">
        <v>1962</v>
      </c>
      <c r="C29" s="6">
        <v>130954329.51000001</v>
      </c>
      <c r="D29" s="6">
        <v>138245967.80000001</v>
      </c>
      <c r="E29" s="6">
        <v>10640639.27</v>
      </c>
      <c r="F29" s="6">
        <v>10928993.83</v>
      </c>
      <c r="G29" s="6">
        <v>1102811.73</v>
      </c>
      <c r="H29" s="6">
        <v>3819309.52</v>
      </c>
      <c r="I29" s="6">
        <v>23380341.620000001</v>
      </c>
      <c r="J29" s="6">
        <v>3070232.97</v>
      </c>
      <c r="K29" s="6"/>
      <c r="L29" s="6"/>
      <c r="M29" s="6"/>
      <c r="N29" s="6"/>
      <c r="O29" s="6">
        <v>322142626.25</v>
      </c>
    </row>
    <row r="30" spans="1:22" x14ac:dyDescent="0.3">
      <c r="A30">
        <v>1963</v>
      </c>
      <c r="C30" s="6">
        <v>156260996.94999999</v>
      </c>
      <c r="D30" s="6">
        <v>159511281.94999999</v>
      </c>
      <c r="E30" s="6">
        <v>6220739.4299999997</v>
      </c>
      <c r="F30" s="6">
        <v>6438072.6399999997</v>
      </c>
      <c r="G30" s="6">
        <v>406900.64</v>
      </c>
      <c r="H30" s="6">
        <v>3393338.3</v>
      </c>
      <c r="I30" s="6">
        <v>18962954.829999998</v>
      </c>
      <c r="J30" s="6">
        <v>8289807.6200000001</v>
      </c>
      <c r="K30" s="6"/>
      <c r="L30" s="6"/>
      <c r="M30" s="6"/>
      <c r="N30" s="6"/>
      <c r="O30" s="6">
        <v>359484092.36000001</v>
      </c>
    </row>
    <row r="31" spans="1:22" x14ac:dyDescent="0.3">
      <c r="A31">
        <v>1964</v>
      </c>
      <c r="C31" s="6">
        <v>185151897.38</v>
      </c>
      <c r="D31" s="6">
        <v>170070522.38999999</v>
      </c>
      <c r="E31" s="6">
        <v>6124334.5300000003</v>
      </c>
      <c r="F31" s="6">
        <v>6141084.8799999999</v>
      </c>
      <c r="G31" s="6">
        <v>333230.2</v>
      </c>
      <c r="H31" s="6">
        <v>3604034.54</v>
      </c>
      <c r="I31" s="6">
        <v>18954473.809999999</v>
      </c>
      <c r="J31" s="6">
        <v>14093083.789999999</v>
      </c>
      <c r="K31" s="6"/>
      <c r="L31" s="6"/>
      <c r="M31" s="6"/>
      <c r="N31" s="6"/>
      <c r="O31" s="6">
        <v>404472661.51999998</v>
      </c>
    </row>
    <row r="32" spans="1:22" x14ac:dyDescent="0.3">
      <c r="A32">
        <v>1965</v>
      </c>
      <c r="C32" s="6">
        <v>200684894.41</v>
      </c>
      <c r="D32" s="6">
        <v>197089892.84</v>
      </c>
      <c r="E32" s="6">
        <v>4749240.7699999996</v>
      </c>
      <c r="F32" s="6">
        <v>3974464</v>
      </c>
      <c r="G32" s="6">
        <v>336352.08</v>
      </c>
      <c r="H32" s="6">
        <v>5205859.21</v>
      </c>
      <c r="I32" s="6">
        <v>18970268.34</v>
      </c>
      <c r="J32" s="6">
        <v>20620368.5</v>
      </c>
      <c r="K32" s="6"/>
      <c r="L32" s="6"/>
      <c r="M32" s="6"/>
      <c r="N32" s="6"/>
      <c r="O32" s="6">
        <v>451631340.14999998</v>
      </c>
    </row>
    <row r="33" spans="1:15" x14ac:dyDescent="0.3">
      <c r="A33">
        <v>1966</v>
      </c>
      <c r="C33" s="6">
        <v>243521089.15000001</v>
      </c>
      <c r="D33" s="6">
        <v>194262066.52000001</v>
      </c>
      <c r="E33" s="6">
        <v>4813999.53</v>
      </c>
      <c r="F33" s="6">
        <v>3913376</v>
      </c>
      <c r="G33" s="6">
        <v>339473.96</v>
      </c>
      <c r="H33" s="6">
        <v>6400197.4100000001</v>
      </c>
      <c r="I33" s="6">
        <v>31321132.620000001</v>
      </c>
      <c r="J33" s="6">
        <v>31534447.420000002</v>
      </c>
      <c r="K33" s="6"/>
      <c r="L33" s="6"/>
      <c r="M33" s="6"/>
      <c r="N33" s="6"/>
      <c r="O33" s="6">
        <v>516105782.61000001</v>
      </c>
    </row>
    <row r="34" spans="1:15" x14ac:dyDescent="0.3">
      <c r="A34">
        <v>1967</v>
      </c>
      <c r="C34" s="6">
        <v>318813201.73000002</v>
      </c>
      <c r="D34" s="6">
        <v>166825379.66999999</v>
      </c>
      <c r="E34" s="6">
        <v>4865794.72</v>
      </c>
      <c r="F34" s="6">
        <v>3837665.9</v>
      </c>
      <c r="G34" s="6">
        <v>342595.84000000003</v>
      </c>
      <c r="H34" s="6">
        <v>7717362.3499999996</v>
      </c>
      <c r="I34" s="6">
        <v>41615332.82</v>
      </c>
      <c r="J34" s="6">
        <v>42526931.329999998</v>
      </c>
      <c r="K34" s="6"/>
      <c r="L34" s="6"/>
      <c r="M34" s="6"/>
      <c r="N34" s="6"/>
      <c r="O34" s="6">
        <v>586544264.36000001</v>
      </c>
    </row>
    <row r="35" spans="1:15" x14ac:dyDescent="0.3">
      <c r="A35">
        <v>1968</v>
      </c>
      <c r="C35" s="6">
        <v>395848676.16000003</v>
      </c>
      <c r="D35" s="6">
        <v>152276238.28999999</v>
      </c>
      <c r="E35" s="6">
        <v>4926647.09</v>
      </c>
      <c r="F35" s="6">
        <v>3984481.99</v>
      </c>
      <c r="G35" s="6">
        <v>345717.72</v>
      </c>
      <c r="H35" s="6">
        <v>14401584.5</v>
      </c>
      <c r="I35" s="6">
        <v>55288015.600000001</v>
      </c>
      <c r="J35" s="6">
        <v>52597034.329999998</v>
      </c>
      <c r="K35" s="6"/>
      <c r="L35" s="6"/>
      <c r="M35" s="6"/>
      <c r="N35" s="6"/>
      <c r="O35" s="6">
        <v>679668395.67999995</v>
      </c>
    </row>
    <row r="36" spans="1:15" x14ac:dyDescent="0.3">
      <c r="A36">
        <v>1969</v>
      </c>
      <c r="C36" s="6">
        <v>506032181.38</v>
      </c>
      <c r="D36" s="6">
        <v>116596937.19</v>
      </c>
      <c r="E36" s="6">
        <v>4962723.0999999996</v>
      </c>
      <c r="F36" s="6">
        <v>4011542.59</v>
      </c>
      <c r="G36" s="6">
        <v>348839.6</v>
      </c>
      <c r="H36" s="6">
        <v>22453998.370000001</v>
      </c>
      <c r="I36" s="6">
        <v>59358965.439999998</v>
      </c>
      <c r="J36" s="6">
        <v>68246826.819999993</v>
      </c>
      <c r="K36" s="6"/>
      <c r="L36" s="6"/>
      <c r="M36" s="6"/>
      <c r="N36" s="6"/>
      <c r="O36" s="6">
        <v>782012014.5</v>
      </c>
    </row>
    <row r="37" spans="1:15" x14ac:dyDescent="0.3">
      <c r="A37">
        <v>1970</v>
      </c>
      <c r="C37" s="6">
        <v>665904475.54999995</v>
      </c>
      <c r="D37" s="6">
        <v>50370832.719999999</v>
      </c>
      <c r="E37" s="6">
        <v>4942745.4800000004</v>
      </c>
      <c r="F37" s="6">
        <v>3984522.54</v>
      </c>
      <c r="G37" s="6">
        <v>351961.48</v>
      </c>
      <c r="H37" s="6">
        <v>26135690.359999999</v>
      </c>
      <c r="I37" s="6">
        <v>55784132.090000004</v>
      </c>
      <c r="J37" s="6">
        <v>88482518.5</v>
      </c>
      <c r="K37" s="6">
        <v>1899248.14</v>
      </c>
      <c r="L37" s="6">
        <v>522995.56</v>
      </c>
      <c r="M37" s="6"/>
      <c r="N37" s="6"/>
      <c r="O37" s="6">
        <v>898379122.41999996</v>
      </c>
    </row>
    <row r="38" spans="1:15" x14ac:dyDescent="0.3">
      <c r="A38">
        <v>1971</v>
      </c>
      <c r="C38" s="6">
        <v>849547436.90999997</v>
      </c>
      <c r="D38" s="6">
        <v>122056.93</v>
      </c>
      <c r="E38" s="6">
        <v>4606570.18</v>
      </c>
      <c r="F38" s="6">
        <v>3933221.54</v>
      </c>
      <c r="G38" s="6">
        <v>355083.36</v>
      </c>
      <c r="H38" s="6">
        <v>26462454.32</v>
      </c>
      <c r="I38" s="6">
        <v>36260458.43</v>
      </c>
      <c r="J38" s="6">
        <v>116436864.34999999</v>
      </c>
      <c r="K38" s="6">
        <v>7832934.5499999998</v>
      </c>
      <c r="L38" s="6">
        <v>855430.82</v>
      </c>
      <c r="M38" s="6"/>
      <c r="N38" s="6"/>
      <c r="O38" s="6">
        <v>1046412511.39</v>
      </c>
    </row>
    <row r="39" spans="1:15" x14ac:dyDescent="0.3">
      <c r="A39">
        <v>1972</v>
      </c>
      <c r="C39" s="6">
        <v>961645213.54999995</v>
      </c>
      <c r="D39" s="6">
        <v>39814.410000000003</v>
      </c>
      <c r="E39" s="6">
        <v>4605954.4000000004</v>
      </c>
      <c r="F39" s="6">
        <v>3844009.4</v>
      </c>
      <c r="G39" s="6">
        <v>358205.24</v>
      </c>
      <c r="H39" s="6">
        <v>23222925.210000001</v>
      </c>
      <c r="I39" s="6">
        <v>57114091.509999998</v>
      </c>
      <c r="J39" s="6">
        <v>152127463.25</v>
      </c>
      <c r="K39" s="6">
        <v>7333161.5899999999</v>
      </c>
      <c r="L39" s="6">
        <v>529139.30000000005</v>
      </c>
      <c r="M39" s="6"/>
      <c r="N39" s="6"/>
      <c r="O39" s="6">
        <v>1210819977.8599999</v>
      </c>
    </row>
    <row r="40" spans="1:15" x14ac:dyDescent="0.3">
      <c r="A40">
        <v>1973</v>
      </c>
      <c r="C40" s="6">
        <v>1065273427.8099999</v>
      </c>
      <c r="D40" s="6">
        <v>4975680.7300000004</v>
      </c>
      <c r="E40" s="6">
        <v>3751043.43</v>
      </c>
      <c r="F40" s="6">
        <v>4554040.8600000003</v>
      </c>
      <c r="G40" s="6">
        <v>361327.12</v>
      </c>
      <c r="H40" s="6">
        <v>22032960.100000001</v>
      </c>
      <c r="I40" s="6">
        <v>76449662.799999997</v>
      </c>
      <c r="J40" s="6">
        <v>187313193.00999999</v>
      </c>
      <c r="K40" s="6">
        <v>20736249.23</v>
      </c>
      <c r="L40" s="6">
        <v>70328.08</v>
      </c>
      <c r="M40" s="6">
        <v>13101657.449999999</v>
      </c>
      <c r="N40" s="6"/>
      <c r="O40" s="6">
        <v>1398619570.6199999</v>
      </c>
    </row>
    <row r="41" spans="1:15" x14ac:dyDescent="0.3">
      <c r="A41">
        <v>1974</v>
      </c>
      <c r="C41" s="6">
        <v>1228371166</v>
      </c>
      <c r="D41" s="6">
        <v>524669.36</v>
      </c>
      <c r="E41" s="6">
        <v>4291051.7699999996</v>
      </c>
      <c r="F41" s="6">
        <v>3239472.44</v>
      </c>
      <c r="G41" s="6">
        <v>364449</v>
      </c>
      <c r="H41" s="6">
        <v>19808368.149999999</v>
      </c>
      <c r="I41" s="6">
        <v>60712301.259999998</v>
      </c>
      <c r="J41" s="6">
        <v>233797275.03</v>
      </c>
      <c r="K41" s="6">
        <v>27127443.16</v>
      </c>
      <c r="L41" s="6">
        <v>21008.87</v>
      </c>
      <c r="M41" s="6">
        <v>12900482.619999999</v>
      </c>
      <c r="N41" s="6"/>
      <c r="O41" s="6">
        <v>1591157687.6600001</v>
      </c>
    </row>
    <row r="43" spans="1:15" x14ac:dyDescent="0.3"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</row>
  </sheetData>
  <mergeCells count="2">
    <mergeCell ref="C7:O7"/>
    <mergeCell ref="C43:O4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7A9D4F-233B-4A46-B74E-F9B7F5DDC80D}">
  <dimension ref="A1:P36"/>
  <sheetViews>
    <sheetView zoomScale="70" zoomScaleNormal="70" workbookViewId="0">
      <selection activeCell="Y12" sqref="Y12"/>
    </sheetView>
  </sheetViews>
  <sheetFormatPr defaultRowHeight="14.4" x14ac:dyDescent="0.3"/>
  <cols>
    <col min="5" max="5" width="14.109375" customWidth="1"/>
    <col min="6" max="6" width="14.44140625" customWidth="1"/>
    <col min="12" max="12" width="11.88671875" customWidth="1"/>
    <col min="13" max="13" width="11.21875" customWidth="1"/>
    <col min="14" max="14" width="11.44140625" customWidth="1"/>
  </cols>
  <sheetData>
    <row r="1" spans="1:16" x14ac:dyDescent="0.3">
      <c r="A1" t="s">
        <v>53</v>
      </c>
    </row>
    <row r="3" spans="1:16" x14ac:dyDescent="0.3">
      <c r="C3" s="38" t="s">
        <v>10</v>
      </c>
      <c r="D3" s="38"/>
      <c r="E3" s="38"/>
      <c r="F3" s="38"/>
      <c r="G3" s="38"/>
    </row>
    <row r="4" spans="1:16" x14ac:dyDescent="0.3">
      <c r="C4" t="s">
        <v>0</v>
      </c>
      <c r="E4" t="s">
        <v>3</v>
      </c>
      <c r="F4" t="s">
        <v>2</v>
      </c>
      <c r="G4" t="s">
        <v>4</v>
      </c>
      <c r="L4" t="s">
        <v>3</v>
      </c>
      <c r="M4" t="s">
        <v>2</v>
      </c>
      <c r="N4" t="s">
        <v>4</v>
      </c>
    </row>
    <row r="5" spans="1:16" x14ac:dyDescent="0.3">
      <c r="A5">
        <v>1943</v>
      </c>
      <c r="C5" s="6">
        <f>('NC State Data'!O10)/1000000</f>
        <v>6.5019133100000008</v>
      </c>
      <c r="D5" s="6"/>
      <c r="E5" s="6">
        <f>(SUM('NC State Data'!E10,'NC State Data'!F10,'NC State Data'!N10))/1000000</f>
        <v>6.3519133099999996</v>
      </c>
      <c r="F5" s="6">
        <f>(SUM('NC State Data'!D10)/1000000)</f>
        <v>0.15</v>
      </c>
      <c r="G5" s="6">
        <f>(SUM('NC State Data'!G10:M10,'NC State Data'!C10))/1000000</f>
        <v>0</v>
      </c>
      <c r="H5" s="6"/>
      <c r="I5" s="6"/>
      <c r="L5" s="3">
        <f>(E5/C5)*100</f>
        <v>97.692986774073105</v>
      </c>
      <c r="M5" s="3">
        <f>(F5/C5)*100</f>
        <v>2.3070132259268772</v>
      </c>
      <c r="N5" s="3">
        <f>(G5/C5)*100</f>
        <v>0</v>
      </c>
      <c r="O5" s="3"/>
      <c r="P5" s="3"/>
    </row>
    <row r="6" spans="1:16" x14ac:dyDescent="0.3">
      <c r="A6">
        <v>1944</v>
      </c>
      <c r="C6" s="6">
        <f>('NC State Data'!O11)/1000000</f>
        <v>11.1513984</v>
      </c>
      <c r="D6" s="6"/>
      <c r="E6" s="6">
        <f>(SUM('NC State Data'!E11,'NC State Data'!F11,'NC State Data'!N11))/1000000</f>
        <v>6.4713652000000002</v>
      </c>
      <c r="F6" s="6">
        <f>(SUM('NC State Data'!D11)/1000000)</f>
        <v>4.6800332000000004</v>
      </c>
      <c r="G6" s="6">
        <f>(SUM('NC State Data'!G11:M11,'NC State Data'!C11))/1000000</f>
        <v>0</v>
      </c>
      <c r="H6" s="6"/>
      <c r="I6" s="6"/>
      <c r="L6" s="3">
        <f t="shared" ref="L6:L36" si="0">(E6/C6)*100</f>
        <v>58.03187159020343</v>
      </c>
      <c r="M6" s="3">
        <f t="shared" ref="M6:M36" si="1">(F6/C6)*100</f>
        <v>41.96812840979657</v>
      </c>
      <c r="N6" s="3">
        <f t="shared" ref="N6:N36" si="2">(G6/C6)*100</f>
        <v>0</v>
      </c>
      <c r="O6" s="3"/>
      <c r="P6" s="3"/>
    </row>
    <row r="7" spans="1:16" x14ac:dyDescent="0.3">
      <c r="A7">
        <v>1945</v>
      </c>
      <c r="C7" s="6">
        <f>('NC State Data'!O12)/1000000</f>
        <v>15.491471890000001</v>
      </c>
      <c r="D7" s="6"/>
      <c r="E7" s="6">
        <f>(SUM('NC State Data'!E12,'NC State Data'!F12,'NC State Data'!N12))/1000000</f>
        <v>6.8599733499999997</v>
      </c>
      <c r="F7" s="6">
        <f>(SUM('NC State Data'!D12)/1000000)</f>
        <v>8.6314985399999991</v>
      </c>
      <c r="G7" s="6">
        <f>(SUM('NC State Data'!G12:M12,'NC State Data'!C12))/1000000</f>
        <v>0</v>
      </c>
      <c r="H7" s="6"/>
      <c r="I7" s="6"/>
      <c r="L7" s="3">
        <f t="shared" si="0"/>
        <v>44.282256706854469</v>
      </c>
      <c r="M7" s="3">
        <f t="shared" si="1"/>
        <v>55.717743293145517</v>
      </c>
      <c r="N7" s="3">
        <f t="shared" si="2"/>
        <v>0</v>
      </c>
      <c r="O7" s="3"/>
      <c r="P7" s="3"/>
    </row>
    <row r="8" spans="1:16" x14ac:dyDescent="0.3">
      <c r="A8">
        <v>1946</v>
      </c>
      <c r="C8" s="6">
        <f>('NC State Data'!O13)/1000000</f>
        <v>20.163251649999999</v>
      </c>
      <c r="D8" s="6"/>
      <c r="E8" s="6">
        <f>(SUM('NC State Data'!E13,'NC State Data'!F13,'NC State Data'!N13))/1000000</f>
        <v>2.9338117599999998</v>
      </c>
      <c r="F8" s="6">
        <f>(SUM('NC State Data'!D13)/1000000)</f>
        <v>17.229439890000002</v>
      </c>
      <c r="G8" s="6">
        <f>(SUM('NC State Data'!G13:M13,'NC State Data'!C13))/1000000</f>
        <v>0</v>
      </c>
      <c r="H8" s="6"/>
      <c r="I8" s="6"/>
      <c r="L8" s="3">
        <f t="shared" si="0"/>
        <v>14.550290850533523</v>
      </c>
      <c r="M8" s="3">
        <f t="shared" si="1"/>
        <v>85.449709149466486</v>
      </c>
      <c r="N8" s="3">
        <f t="shared" si="2"/>
        <v>0</v>
      </c>
      <c r="O8" s="3"/>
      <c r="P8" s="3"/>
    </row>
    <row r="9" spans="1:16" x14ac:dyDescent="0.3">
      <c r="A9">
        <v>1947</v>
      </c>
      <c r="C9" s="6">
        <f>('NC State Data'!O14)/1000000</f>
        <v>26.913110990000003</v>
      </c>
      <c r="D9" s="6"/>
      <c r="E9" s="6">
        <f>(SUM('NC State Data'!E14,'NC State Data'!F14,'NC State Data'!N14))/1000000</f>
        <v>4.2589478700000001</v>
      </c>
      <c r="F9" s="6">
        <f>(SUM('NC State Data'!D14)/1000000)</f>
        <v>22.654163119999996</v>
      </c>
      <c r="G9" s="6">
        <f>(SUM('NC State Data'!G14:M14,'NC State Data'!C14))/1000000</f>
        <v>0</v>
      </c>
      <c r="H9" s="6"/>
      <c r="I9" s="6"/>
      <c r="L9" s="3">
        <f t="shared" si="0"/>
        <v>15.824806993076646</v>
      </c>
      <c r="M9" s="3">
        <f t="shared" si="1"/>
        <v>84.175193006923337</v>
      </c>
      <c r="N9" s="3">
        <f t="shared" si="2"/>
        <v>0</v>
      </c>
      <c r="O9" s="3"/>
      <c r="P9" s="3"/>
    </row>
    <row r="10" spans="1:16" x14ac:dyDescent="0.3">
      <c r="A10">
        <v>1948</v>
      </c>
      <c r="C10" s="6">
        <f>('NC State Data'!O15)/1000000</f>
        <v>35.772926320000003</v>
      </c>
      <c r="D10" s="6"/>
      <c r="E10" s="6">
        <f>(SUM('NC State Data'!E15,'NC State Data'!F15,'NC State Data'!N15))/1000000</f>
        <v>7.8583935800000004</v>
      </c>
      <c r="F10" s="6">
        <f>(SUM('NC State Data'!D15)/1000000)</f>
        <v>27.914532739999999</v>
      </c>
      <c r="G10" s="6">
        <f>(SUM('NC State Data'!G15:M15,'NC State Data'!C15))/1000000</f>
        <v>0</v>
      </c>
      <c r="H10" s="6"/>
      <c r="I10" s="6"/>
      <c r="L10" s="3">
        <f t="shared" si="0"/>
        <v>21.967432884031389</v>
      </c>
      <c r="M10" s="3">
        <f t="shared" si="1"/>
        <v>78.032567115968604</v>
      </c>
      <c r="N10" s="3">
        <f t="shared" si="2"/>
        <v>0</v>
      </c>
      <c r="O10" s="3"/>
      <c r="P10" s="3"/>
    </row>
    <row r="11" spans="1:16" x14ac:dyDescent="0.3">
      <c r="A11">
        <v>1949</v>
      </c>
      <c r="C11" s="6">
        <f>('NC State Data'!O16)/1000000</f>
        <v>49.750806709999999</v>
      </c>
      <c r="D11" s="6"/>
      <c r="E11" s="6">
        <f>(SUM('NC State Data'!E16,'NC State Data'!F16,'NC State Data'!N16))/1000000</f>
        <v>19.00717805</v>
      </c>
      <c r="F11" s="6">
        <f>(SUM('NC State Data'!D16)/1000000)</f>
        <v>30.743628659999999</v>
      </c>
      <c r="G11" s="6">
        <f>(SUM('NC State Data'!G16:M16,'NC State Data'!C16))/1000000</f>
        <v>0</v>
      </c>
      <c r="H11" s="6"/>
      <c r="I11" s="6"/>
      <c r="L11" s="3">
        <f t="shared" si="0"/>
        <v>38.204763514275889</v>
      </c>
      <c r="M11" s="3">
        <f t="shared" si="1"/>
        <v>61.795236485724118</v>
      </c>
      <c r="N11" s="3">
        <f t="shared" si="2"/>
        <v>0</v>
      </c>
      <c r="O11" s="3"/>
      <c r="P11" s="3"/>
    </row>
    <row r="12" spans="1:16" x14ac:dyDescent="0.3">
      <c r="A12">
        <v>1950</v>
      </c>
      <c r="C12" s="6">
        <f>('NC State Data'!O17)/1000000</f>
        <v>65.449823249999994</v>
      </c>
      <c r="D12" s="6"/>
      <c r="E12" s="6">
        <f>(SUM('NC State Data'!E17,'NC State Data'!F17,'NC State Data'!N17))/1000000</f>
        <v>21.472047410000002</v>
      </c>
      <c r="F12" s="6">
        <f>(SUM('NC State Data'!D17)/1000000)</f>
        <v>43.977775840000007</v>
      </c>
      <c r="G12" s="6">
        <f>(SUM('NC State Data'!G17:M17,'NC State Data'!C17))/1000000</f>
        <v>0</v>
      </c>
      <c r="H12" s="6"/>
      <c r="I12" s="6"/>
      <c r="L12" s="3">
        <f t="shared" si="0"/>
        <v>32.806883722180267</v>
      </c>
      <c r="M12" s="3">
        <f t="shared" si="1"/>
        <v>67.193116277819755</v>
      </c>
      <c r="N12" s="3">
        <f t="shared" si="2"/>
        <v>0</v>
      </c>
      <c r="O12" s="3"/>
      <c r="P12" s="3"/>
    </row>
    <row r="13" spans="1:16" x14ac:dyDescent="0.3">
      <c r="A13">
        <v>1951</v>
      </c>
      <c r="C13" s="6">
        <f>('NC State Data'!O18)/1000000</f>
        <v>80.415450100000001</v>
      </c>
      <c r="D13" s="6"/>
      <c r="E13" s="6">
        <f>(SUM('NC State Data'!E18,'NC State Data'!F18,'NC State Data'!N18))/1000000</f>
        <v>19.44667488</v>
      </c>
      <c r="F13" s="6">
        <f>(SUM('NC State Data'!D18)/1000000)</f>
        <v>60.968775219999998</v>
      </c>
      <c r="G13" s="6">
        <f>(SUM('NC State Data'!G18:M18,'NC State Data'!C18))/1000000</f>
        <v>0</v>
      </c>
      <c r="H13" s="6"/>
      <c r="I13" s="6"/>
      <c r="K13" s="3"/>
      <c r="L13" s="3">
        <f t="shared" si="0"/>
        <v>24.182759476962747</v>
      </c>
      <c r="M13" s="3">
        <f t="shared" si="1"/>
        <v>75.817240523037242</v>
      </c>
      <c r="N13" s="3">
        <f t="shared" si="2"/>
        <v>0</v>
      </c>
      <c r="O13" s="3"/>
      <c r="P13" s="3"/>
    </row>
    <row r="14" spans="1:16" x14ac:dyDescent="0.3">
      <c r="A14">
        <v>1952</v>
      </c>
      <c r="C14" s="6">
        <f>('NC State Data'!O19)/1000000</f>
        <v>100.66879767</v>
      </c>
      <c r="D14" s="6"/>
      <c r="E14" s="6">
        <f>(SUM('NC State Data'!E19,'NC State Data'!F19,'NC State Data'!N19))/1000000</f>
        <v>19.826805440000001</v>
      </c>
      <c r="F14" s="6">
        <f>(SUM('NC State Data'!D19)/1000000)</f>
        <v>80.841992230000002</v>
      </c>
      <c r="G14" s="6">
        <f>(SUM('NC State Data'!G19:M19,'NC State Data'!C19))/1000000</f>
        <v>0</v>
      </c>
      <c r="H14" s="6"/>
      <c r="I14" s="6"/>
      <c r="L14" s="3">
        <f t="shared" si="0"/>
        <v>19.69508516928332</v>
      </c>
      <c r="M14" s="3">
        <f t="shared" si="1"/>
        <v>80.304914830716683</v>
      </c>
      <c r="N14" s="3">
        <f t="shared" si="2"/>
        <v>0</v>
      </c>
      <c r="O14" s="3"/>
      <c r="P14" s="3"/>
    </row>
    <row r="15" spans="1:16" x14ac:dyDescent="0.3">
      <c r="A15">
        <v>1953</v>
      </c>
      <c r="C15" s="6">
        <f>('NC State Data'!O20)/1000000</f>
        <v>121.24026129000001</v>
      </c>
      <c r="D15" s="6"/>
      <c r="E15" s="6">
        <f>(SUM('NC State Data'!E20,'NC State Data'!F20,'NC State Data'!N20))/1000000</f>
        <v>22.365257270000004</v>
      </c>
      <c r="F15" s="6">
        <f>(SUM('NC State Data'!D20)/1000000)</f>
        <v>96.463294730000001</v>
      </c>
      <c r="G15" s="6">
        <f>(SUM('NC State Data'!G20:M20,'NC State Data'!C20))/1000000</f>
        <v>2.4217092899999999</v>
      </c>
      <c r="H15" s="6"/>
      <c r="I15" s="6"/>
      <c r="L15" s="3">
        <f t="shared" si="0"/>
        <v>18.447054659923197</v>
      </c>
      <c r="M15" s="3">
        <f t="shared" si="1"/>
        <v>79.563746979450272</v>
      </c>
      <c r="N15" s="3">
        <f t="shared" si="2"/>
        <v>1.9974464457870187</v>
      </c>
      <c r="O15" s="3"/>
      <c r="P15" s="3"/>
    </row>
    <row r="16" spans="1:16" x14ac:dyDescent="0.3">
      <c r="A16">
        <v>1954</v>
      </c>
      <c r="C16" s="6">
        <f>('NC State Data'!O21)/1000000</f>
        <v>143.67199540000001</v>
      </c>
      <c r="D16" s="6"/>
      <c r="E16" s="6">
        <f>(SUM('NC State Data'!E21,'NC State Data'!F21,'NC State Data'!N21))/1000000</f>
        <v>24.128652439999996</v>
      </c>
      <c r="F16" s="6">
        <f>(SUM('NC State Data'!D21)/1000000)</f>
        <v>117.06244768000001</v>
      </c>
      <c r="G16" s="6">
        <f>(SUM('NC State Data'!G21:M21,'NC State Data'!C21))/1000000</f>
        <v>2.4808952799999999</v>
      </c>
      <c r="H16" s="6"/>
      <c r="I16" s="6"/>
      <c r="L16" s="3">
        <f t="shared" si="0"/>
        <v>16.794262773912859</v>
      </c>
      <c r="M16" s="3">
        <f t="shared" si="1"/>
        <v>81.478960011715685</v>
      </c>
      <c r="N16" s="3">
        <f t="shared" si="2"/>
        <v>1.7267772143714513</v>
      </c>
      <c r="O16" s="3"/>
      <c r="P16" s="3"/>
    </row>
    <row r="17" spans="1:16" x14ac:dyDescent="0.3">
      <c r="A17">
        <v>1955</v>
      </c>
      <c r="C17" s="6">
        <f>('NC State Data'!O22)/1000000</f>
        <v>169.84596761</v>
      </c>
      <c r="D17" s="6"/>
      <c r="E17" s="6">
        <f>(SUM('NC State Data'!E22,'NC State Data'!F22,'NC State Data'!N22))/1000000</f>
        <v>25.566595020000005</v>
      </c>
      <c r="F17" s="6">
        <f>(SUM('NC State Data'!D22)/1000000)</f>
        <v>144.27937259000001</v>
      </c>
      <c r="G17" s="6">
        <f>(SUM('NC State Data'!G22:M22,'NC State Data'!C22))/1000000</f>
        <v>0</v>
      </c>
      <c r="H17" s="6"/>
      <c r="I17" s="6"/>
      <c r="L17" s="3">
        <f t="shared" si="0"/>
        <v>15.05281248637352</v>
      </c>
      <c r="M17" s="3">
        <f t="shared" si="1"/>
        <v>84.947187513626488</v>
      </c>
      <c r="N17" s="3">
        <f t="shared" si="2"/>
        <v>0</v>
      </c>
      <c r="O17" s="3"/>
      <c r="P17" s="3"/>
    </row>
    <row r="18" spans="1:16" x14ac:dyDescent="0.3">
      <c r="A18">
        <v>1956</v>
      </c>
      <c r="C18" s="6">
        <f>('NC State Data'!O23)/1000000</f>
        <v>192.47532894999998</v>
      </c>
      <c r="D18" s="6"/>
      <c r="E18" s="6">
        <f>(SUM('NC State Data'!E23,'NC State Data'!F23,'NC State Data'!N23))/1000000</f>
        <v>28.120332549999997</v>
      </c>
      <c r="F18" s="6">
        <f>(SUM('NC State Data'!D23)/1000000)</f>
        <v>164.3549964</v>
      </c>
      <c r="G18" s="6">
        <f>(SUM('NC State Data'!G23:M23,'NC State Data'!C23))/1000000</f>
        <v>0</v>
      </c>
      <c r="H18" s="6"/>
      <c r="I18" s="6"/>
      <c r="L18" s="3">
        <f t="shared" si="0"/>
        <v>14.609837376770985</v>
      </c>
      <c r="M18" s="3">
        <f t="shared" si="1"/>
        <v>85.390162623229031</v>
      </c>
      <c r="N18" s="3">
        <f t="shared" si="2"/>
        <v>0</v>
      </c>
      <c r="O18" s="3"/>
      <c r="P18" s="3"/>
    </row>
    <row r="19" spans="1:16" x14ac:dyDescent="0.3">
      <c r="A19">
        <v>1957</v>
      </c>
      <c r="C19" s="6">
        <f>('NC State Data'!O24)/1000000</f>
        <v>199.88344327999999</v>
      </c>
      <c r="D19" s="6"/>
      <c r="E19" s="6">
        <f>(SUM('NC State Data'!E24,'NC State Data'!F24,'NC State Data'!N24))/1000000</f>
        <v>37.541905189999994</v>
      </c>
      <c r="F19" s="6">
        <f>(SUM('NC State Data'!D24)/1000000)</f>
        <v>160.4817515</v>
      </c>
      <c r="G19" s="6">
        <f>(SUM('NC State Data'!G24:M24,'NC State Data'!C24))/1000000</f>
        <v>1.8597865900000001</v>
      </c>
      <c r="H19" s="6"/>
      <c r="I19" s="6"/>
      <c r="L19" s="3">
        <f t="shared" si="0"/>
        <v>18.781898377351183</v>
      </c>
      <c r="M19" s="3">
        <f t="shared" si="1"/>
        <v>80.287666085076665</v>
      </c>
      <c r="N19" s="3">
        <f t="shared" si="2"/>
        <v>0.93043553757215425</v>
      </c>
      <c r="O19" s="3"/>
      <c r="P19" s="3"/>
    </row>
    <row r="20" spans="1:16" x14ac:dyDescent="0.3">
      <c r="A20">
        <v>1958</v>
      </c>
      <c r="C20" s="6">
        <f>('NC State Data'!O25)/1000000</f>
        <v>219.87248373</v>
      </c>
      <c r="D20" s="6"/>
      <c r="E20" s="6">
        <f>(SUM('NC State Data'!E25,'NC State Data'!F25,'NC State Data'!N25))/1000000</f>
        <v>39.306035000000001</v>
      </c>
      <c r="F20" s="6">
        <f>(SUM('NC State Data'!D25)/1000000)</f>
        <v>139.06542016</v>
      </c>
      <c r="G20" s="6">
        <f>(SUM('NC State Data'!G25:M25,'NC State Data'!C25))/1000000</f>
        <v>41.501028570000003</v>
      </c>
      <c r="H20" s="6"/>
      <c r="I20" s="6"/>
      <c r="L20" s="3">
        <f t="shared" si="0"/>
        <v>17.8767412516553</v>
      </c>
      <c r="M20" s="3">
        <f t="shared" si="1"/>
        <v>63.248214510902692</v>
      </c>
      <c r="N20" s="3">
        <f t="shared" si="2"/>
        <v>18.875044237442019</v>
      </c>
      <c r="O20" s="3"/>
      <c r="P20" s="3"/>
    </row>
    <row r="21" spans="1:16" x14ac:dyDescent="0.3">
      <c r="A21">
        <v>1959</v>
      </c>
      <c r="C21" s="6">
        <f>('NC State Data'!O26)/1000000</f>
        <v>240.65271486</v>
      </c>
      <c r="D21" s="6"/>
      <c r="E21" s="6">
        <f>(SUM('NC State Data'!E26,'NC State Data'!F26,'NC State Data'!N26))/1000000</f>
        <v>33.662285329999996</v>
      </c>
      <c r="F21" s="6">
        <f>(SUM('NC State Data'!D26)/1000000)</f>
        <v>142.85986531</v>
      </c>
      <c r="G21" s="6">
        <f>(SUM('NC State Data'!G26:M26,'NC State Data'!C26))/1000000</f>
        <v>64.130564219999997</v>
      </c>
      <c r="H21" s="6"/>
      <c r="I21" s="6"/>
      <c r="L21" s="3">
        <f t="shared" si="0"/>
        <v>13.987910067660392</v>
      </c>
      <c r="M21" s="3">
        <f t="shared" si="1"/>
        <v>59.363496228625088</v>
      </c>
      <c r="N21" s="3">
        <f t="shared" si="2"/>
        <v>26.648593703714514</v>
      </c>
      <c r="O21" s="3"/>
      <c r="P21" s="3"/>
    </row>
    <row r="22" spans="1:16" x14ac:dyDescent="0.3">
      <c r="A22">
        <v>1960</v>
      </c>
      <c r="C22" s="6">
        <f>('NC State Data'!O27)/1000000</f>
        <v>263.16704399000002</v>
      </c>
      <c r="D22" s="6"/>
      <c r="E22" s="6">
        <f>(SUM('NC State Data'!E27,'NC State Data'!F27,'NC State Data'!N27))/1000000</f>
        <v>32.625380450000002</v>
      </c>
      <c r="F22" s="6">
        <f>(SUM('NC State Data'!D27)/1000000)</f>
        <v>144.37566477999999</v>
      </c>
      <c r="G22" s="6">
        <f>(SUM('NC State Data'!G27:M27,'NC State Data'!C27))/1000000</f>
        <v>86.165998760000008</v>
      </c>
      <c r="H22" s="6"/>
      <c r="I22" s="6"/>
      <c r="L22" s="3">
        <f t="shared" si="0"/>
        <v>12.397213555067982</v>
      </c>
      <c r="M22" s="3">
        <f t="shared" si="1"/>
        <v>54.860845260505364</v>
      </c>
      <c r="N22" s="3">
        <f t="shared" si="2"/>
        <v>32.741941184426651</v>
      </c>
      <c r="O22" s="3"/>
      <c r="P22" s="3"/>
    </row>
    <row r="23" spans="1:16" x14ac:dyDescent="0.3">
      <c r="A23">
        <v>1961</v>
      </c>
      <c r="C23" s="6">
        <f>('NC State Data'!O28)/1000000</f>
        <v>287.27588857999996</v>
      </c>
      <c r="D23" s="6"/>
      <c r="E23" s="6">
        <f>(SUM('NC State Data'!E28,'NC State Data'!F28,'NC State Data'!N28))/1000000</f>
        <v>29.99218316</v>
      </c>
      <c r="F23" s="6">
        <f>(SUM('NC State Data'!D28)/1000000)</f>
        <v>134.26005744</v>
      </c>
      <c r="G23" s="6">
        <f>(SUM('NC State Data'!G28:M28,'NC State Data'!C28))/1000000</f>
        <v>123.02364798000001</v>
      </c>
      <c r="H23" s="6"/>
      <c r="I23" s="6"/>
      <c r="L23" s="3">
        <f t="shared" si="0"/>
        <v>10.440202033052921</v>
      </c>
      <c r="M23" s="3">
        <f t="shared" si="1"/>
        <v>46.735581640229285</v>
      </c>
      <c r="N23" s="3">
        <f t="shared" si="2"/>
        <v>42.82421632671781</v>
      </c>
      <c r="O23" s="3"/>
      <c r="P23" s="3"/>
    </row>
    <row r="24" spans="1:16" x14ac:dyDescent="0.3">
      <c r="A24">
        <v>1962</v>
      </c>
      <c r="C24" s="6">
        <f>('NC State Data'!O29)/1000000</f>
        <v>322.14262624999998</v>
      </c>
      <c r="D24" s="6"/>
      <c r="E24" s="6">
        <f>(SUM('NC State Data'!E29,'NC State Data'!F29,'NC State Data'!N29))/1000000</f>
        <v>21.569633100000001</v>
      </c>
      <c r="F24" s="6">
        <f>(SUM('NC State Data'!D29)/1000000)</f>
        <v>138.24596780000002</v>
      </c>
      <c r="G24" s="6">
        <f>(SUM('NC State Data'!G29:M29,'NC State Data'!C29))/1000000</f>
        <v>162.32702534999999</v>
      </c>
      <c r="H24" s="6"/>
      <c r="I24" s="6"/>
      <c r="L24" s="3">
        <f t="shared" si="0"/>
        <v>6.6956780451838771</v>
      </c>
      <c r="M24" s="3">
        <f t="shared" si="1"/>
        <v>42.914521871661194</v>
      </c>
      <c r="N24" s="3">
        <f t="shared" si="2"/>
        <v>50.389800083154931</v>
      </c>
      <c r="O24" s="3"/>
      <c r="P24" s="3"/>
    </row>
    <row r="25" spans="1:16" x14ac:dyDescent="0.3">
      <c r="A25">
        <v>1963</v>
      </c>
      <c r="C25" s="6">
        <f>('NC State Data'!O30)/1000000</f>
        <v>359.48409236000003</v>
      </c>
      <c r="D25" s="6"/>
      <c r="E25" s="6">
        <f>(SUM('NC State Data'!E30,'NC State Data'!F30,'NC State Data'!N30))/1000000</f>
        <v>12.65881207</v>
      </c>
      <c r="F25" s="6">
        <f>(SUM('NC State Data'!D30)/1000000)</f>
        <v>159.51128194999998</v>
      </c>
      <c r="G25" s="6">
        <f>(SUM('NC State Data'!G30:M30,'NC State Data'!C30))/1000000</f>
        <v>187.31399833999998</v>
      </c>
      <c r="H25" s="6"/>
      <c r="I25" s="6"/>
      <c r="L25" s="3">
        <f t="shared" si="0"/>
        <v>3.5213830984551655</v>
      </c>
      <c r="M25" s="3">
        <f t="shared" si="1"/>
        <v>44.372278312181827</v>
      </c>
      <c r="N25" s="3">
        <f t="shared" si="2"/>
        <v>52.106338589362991</v>
      </c>
      <c r="O25" s="3"/>
      <c r="P25" s="3"/>
    </row>
    <row r="26" spans="1:16" x14ac:dyDescent="0.3">
      <c r="A26">
        <v>1964</v>
      </c>
      <c r="C26" s="6">
        <f>('NC State Data'!O31)/1000000</f>
        <v>404.47266151999997</v>
      </c>
      <c r="D26" s="6"/>
      <c r="E26" s="6">
        <f>(SUM('NC State Data'!E31,'NC State Data'!F31,'NC State Data'!N31))/1000000</f>
        <v>12.26541941</v>
      </c>
      <c r="F26" s="6">
        <f>(SUM('NC State Data'!D31)/1000000)</f>
        <v>170.07052238999998</v>
      </c>
      <c r="G26" s="6">
        <f>(SUM('NC State Data'!G31:M31,'NC State Data'!C31))/1000000</f>
        <v>222.13671972</v>
      </c>
      <c r="H26" s="6"/>
      <c r="I26" s="6"/>
      <c r="L26" s="3">
        <f t="shared" si="0"/>
        <v>3.0324470790947413</v>
      </c>
      <c r="M26" s="3">
        <f t="shared" si="1"/>
        <v>42.047470340981377</v>
      </c>
      <c r="N26" s="3">
        <f t="shared" si="2"/>
        <v>54.920082579923879</v>
      </c>
      <c r="O26" s="3"/>
      <c r="P26" s="3"/>
    </row>
    <row r="27" spans="1:16" x14ac:dyDescent="0.3">
      <c r="A27">
        <v>1965</v>
      </c>
      <c r="C27" s="6">
        <f>('NC State Data'!O32)/1000000</f>
        <v>451.63134014999997</v>
      </c>
      <c r="D27" s="6"/>
      <c r="E27" s="6">
        <f>(SUM('NC State Data'!E32,'NC State Data'!F32,'NC State Data'!N32))/1000000</f>
        <v>8.7237047699999994</v>
      </c>
      <c r="F27" s="6">
        <f>(SUM('NC State Data'!D32)/1000000)</f>
        <v>197.08989284</v>
      </c>
      <c r="G27" s="6">
        <f>(SUM('NC State Data'!G32:M32,'NC State Data'!C32))/1000000</f>
        <v>245.81774253999998</v>
      </c>
      <c r="H27" s="6"/>
      <c r="I27" s="6"/>
      <c r="L27" s="3">
        <f t="shared" si="0"/>
        <v>1.9315986280098725</v>
      </c>
      <c r="M27" s="3">
        <f t="shared" si="1"/>
        <v>43.639551846543839</v>
      </c>
      <c r="N27" s="3">
        <f t="shared" si="2"/>
        <v>54.428849525446289</v>
      </c>
      <c r="O27" s="3"/>
      <c r="P27" s="3"/>
    </row>
    <row r="28" spans="1:16" x14ac:dyDescent="0.3">
      <c r="A28">
        <v>1966</v>
      </c>
      <c r="C28" s="6">
        <f>('NC State Data'!O33)/1000000</f>
        <v>516.10578261000001</v>
      </c>
      <c r="D28" s="6"/>
      <c r="E28" s="6">
        <f>(SUM('NC State Data'!E33,'NC State Data'!F33,'NC State Data'!N33))/1000000</f>
        <v>8.7273755300000015</v>
      </c>
      <c r="F28" s="6">
        <f>(SUM('NC State Data'!D33)/1000000)</f>
        <v>194.26206652000002</v>
      </c>
      <c r="G28" s="6">
        <f>(SUM('NC State Data'!G33:M33,'NC State Data'!C33))/1000000</f>
        <v>313.11634056000003</v>
      </c>
      <c r="H28" s="6"/>
      <c r="I28" s="6"/>
      <c r="L28" s="3">
        <f t="shared" si="0"/>
        <v>1.6910051822835166</v>
      </c>
      <c r="M28" s="3">
        <f t="shared" si="1"/>
        <v>37.639970925649543</v>
      </c>
      <c r="N28" s="3">
        <f t="shared" si="2"/>
        <v>60.669023892066953</v>
      </c>
      <c r="O28" s="3"/>
      <c r="P28" s="3"/>
    </row>
    <row r="29" spans="1:16" x14ac:dyDescent="0.3">
      <c r="A29">
        <v>1967</v>
      </c>
      <c r="C29" s="6">
        <f>('NC State Data'!O34)/1000000</f>
        <v>586.54426436000006</v>
      </c>
      <c r="D29" s="6"/>
      <c r="E29" s="6">
        <f>(SUM('NC State Data'!E34,'NC State Data'!F34,'NC State Data'!N34))/1000000</f>
        <v>8.7034606199999995</v>
      </c>
      <c r="F29" s="6">
        <f>(SUM('NC State Data'!D34)/1000000)</f>
        <v>166.82537966999999</v>
      </c>
      <c r="G29" s="6">
        <f>(SUM('NC State Data'!G34:M34,'NC State Data'!C34))/1000000</f>
        <v>411.01542407000005</v>
      </c>
      <c r="H29" s="6"/>
      <c r="I29" s="6"/>
      <c r="L29" s="3">
        <f t="shared" si="0"/>
        <v>1.4838540156038631</v>
      </c>
      <c r="M29" s="3">
        <f t="shared" si="1"/>
        <v>28.442078425577865</v>
      </c>
      <c r="N29" s="3">
        <f t="shared" si="2"/>
        <v>70.074067558818271</v>
      </c>
      <c r="O29" s="3"/>
      <c r="P29" s="3"/>
    </row>
    <row r="30" spans="1:16" x14ac:dyDescent="0.3">
      <c r="A30">
        <v>1968</v>
      </c>
      <c r="C30" s="6">
        <f>('NC State Data'!O35)/1000000</f>
        <v>679.66839568</v>
      </c>
      <c r="D30" s="6"/>
      <c r="E30" s="6">
        <f>(SUM('NC State Data'!E35,'NC State Data'!F35,'NC State Data'!N35))/1000000</f>
        <v>8.9111290800000003</v>
      </c>
      <c r="F30" s="6">
        <f>(SUM('NC State Data'!D35)/1000000)</f>
        <v>152.27623828999998</v>
      </c>
      <c r="G30" s="6">
        <f>(SUM('NC State Data'!G35:M35,'NC State Data'!C35))/1000000</f>
        <v>518.48102831000006</v>
      </c>
      <c r="H30" s="6"/>
      <c r="I30" s="6"/>
      <c r="L30" s="3">
        <f t="shared" si="0"/>
        <v>1.3110995209780973</v>
      </c>
      <c r="M30" s="3">
        <f t="shared" si="1"/>
        <v>22.404490080438336</v>
      </c>
      <c r="N30" s="3">
        <f t="shared" si="2"/>
        <v>76.284410398583574</v>
      </c>
      <c r="O30" s="3"/>
      <c r="P30" s="3"/>
    </row>
    <row r="31" spans="1:16" x14ac:dyDescent="0.3">
      <c r="A31">
        <v>1969</v>
      </c>
      <c r="C31" s="6">
        <f>('NC State Data'!O36)/1000000</f>
        <v>782.01201449999996</v>
      </c>
      <c r="D31" s="6"/>
      <c r="E31" s="6">
        <f>(SUM('NC State Data'!E36,'NC State Data'!F36,'NC State Data'!N36))/1000000</f>
        <v>8.9742656899999993</v>
      </c>
      <c r="F31" s="6">
        <f>(SUM('NC State Data'!D36)/1000000)</f>
        <v>116.59693718999999</v>
      </c>
      <c r="G31" s="6">
        <f>(SUM('NC State Data'!G36:M36,'NC State Data'!C36))/1000000</f>
        <v>656.44081160999997</v>
      </c>
      <c r="H31" s="6"/>
      <c r="I31" s="6"/>
      <c r="L31" s="3">
        <f t="shared" si="0"/>
        <v>1.1475866768796299</v>
      </c>
      <c r="M31" s="3">
        <f t="shared" si="1"/>
        <v>14.909865197473893</v>
      </c>
      <c r="N31" s="3">
        <f t="shared" si="2"/>
        <v>83.942548124367718</v>
      </c>
      <c r="O31" s="3"/>
      <c r="P31" s="3"/>
    </row>
    <row r="32" spans="1:16" x14ac:dyDescent="0.3">
      <c r="A32">
        <v>1970</v>
      </c>
      <c r="C32" s="6">
        <f>('NC State Data'!O37)/1000000</f>
        <v>898.37912241999993</v>
      </c>
      <c r="D32" s="6"/>
      <c r="E32" s="6">
        <f>(SUM('NC State Data'!E37,'NC State Data'!F37,'NC State Data'!N37))/1000000</f>
        <v>8.9272680199999996</v>
      </c>
      <c r="F32" s="6">
        <f>(SUM('NC State Data'!D37)/1000000)</f>
        <v>50.370832719999996</v>
      </c>
      <c r="G32" s="6">
        <f>(SUM('NC State Data'!G37:M37,'NC State Data'!C37))/1000000</f>
        <v>839.08102167999994</v>
      </c>
      <c r="H32" s="6"/>
      <c r="I32" s="6"/>
      <c r="L32" s="3">
        <f t="shared" si="0"/>
        <v>0.99370831280587413</v>
      </c>
      <c r="M32" s="3">
        <f t="shared" si="1"/>
        <v>5.6068570008966878</v>
      </c>
      <c r="N32" s="3">
        <f t="shared" si="2"/>
        <v>93.39943468629744</v>
      </c>
      <c r="O32" s="3"/>
      <c r="P32" s="3"/>
    </row>
    <row r="33" spans="1:16" x14ac:dyDescent="0.3">
      <c r="A33">
        <v>1971</v>
      </c>
      <c r="C33" s="6">
        <f>('NC State Data'!O38)/1000000</f>
        <v>1046.41251139</v>
      </c>
      <c r="D33" s="6"/>
      <c r="E33" s="6">
        <f>(SUM('NC State Data'!E38,'NC State Data'!F38,'NC State Data'!N38))/1000000</f>
        <v>8.5397917199999984</v>
      </c>
      <c r="F33" s="6">
        <f>(SUM('NC State Data'!D38)/1000000)</f>
        <v>0.12205692999999999</v>
      </c>
      <c r="G33" s="6">
        <f>(SUM('NC State Data'!G38:M38,'NC State Data'!C38))/1000000</f>
        <v>1037.7506627400001</v>
      </c>
      <c r="H33" s="6"/>
      <c r="I33" s="6"/>
      <c r="L33" s="3">
        <f t="shared" si="0"/>
        <v>0.81610183623054955</v>
      </c>
      <c r="M33" s="3">
        <f t="shared" si="1"/>
        <v>1.1664322499151497E-2</v>
      </c>
      <c r="N33" s="3">
        <f t="shared" si="2"/>
        <v>99.172233841270312</v>
      </c>
      <c r="O33" s="3"/>
      <c r="P33" s="3"/>
    </row>
    <row r="34" spans="1:16" x14ac:dyDescent="0.3">
      <c r="A34">
        <v>1972</v>
      </c>
      <c r="C34" s="6">
        <f>('NC State Data'!O39)/1000000</f>
        <v>1210.8199778599999</v>
      </c>
      <c r="D34" s="6"/>
      <c r="E34" s="6">
        <f>(SUM('NC State Data'!E39,'NC State Data'!F39,'NC State Data'!N39))/1000000</f>
        <v>8.4499638000000008</v>
      </c>
      <c r="F34" s="6">
        <f>(SUM('NC State Data'!D39)/1000000)</f>
        <v>3.9814410000000001E-2</v>
      </c>
      <c r="G34" s="6">
        <f>(SUM('NC State Data'!G39:M39,'NC State Data'!C39))/1000000</f>
        <v>1202.3301996499999</v>
      </c>
      <c r="H34" s="6"/>
      <c r="I34" s="6"/>
      <c r="L34" s="3">
        <f t="shared" si="0"/>
        <v>0.69787119097047323</v>
      </c>
      <c r="M34" s="3">
        <f t="shared" si="1"/>
        <v>3.2882187879298029E-3</v>
      </c>
      <c r="N34" s="3">
        <f t="shared" si="2"/>
        <v>99.298840590241596</v>
      </c>
      <c r="O34" s="3"/>
      <c r="P34" s="3"/>
    </row>
    <row r="35" spans="1:16" x14ac:dyDescent="0.3">
      <c r="A35">
        <v>1973</v>
      </c>
      <c r="C35" s="6">
        <f>('NC State Data'!O40)/1000000</f>
        <v>1398.6195706199999</v>
      </c>
      <c r="D35" s="6"/>
      <c r="E35" s="6">
        <f>(SUM('NC State Data'!E40,'NC State Data'!F40,'NC State Data'!N40))/1000000</f>
        <v>8.3050842900000017</v>
      </c>
      <c r="F35" s="6">
        <f>(SUM('NC State Data'!D40)/1000000)</f>
        <v>4.9756807300000006</v>
      </c>
      <c r="G35" s="6">
        <f>(SUM('NC State Data'!G40:M40,'NC State Data'!C40))/1000000</f>
        <v>1385.3388055999999</v>
      </c>
      <c r="H35" s="6"/>
      <c r="I35" s="6"/>
      <c r="L35" s="3">
        <f t="shared" si="0"/>
        <v>0.59380581142007094</v>
      </c>
      <c r="M35" s="3">
        <f t="shared" si="1"/>
        <v>0.35575654985253141</v>
      </c>
      <c r="N35" s="3">
        <f t="shared" si="2"/>
        <v>99.050437638727402</v>
      </c>
      <c r="O35" s="3"/>
      <c r="P35" s="3"/>
    </row>
    <row r="36" spans="1:16" x14ac:dyDescent="0.3">
      <c r="A36">
        <v>1974</v>
      </c>
      <c r="C36" s="6">
        <f>('NC State Data'!O41)/1000000</f>
        <v>1591.1576876600002</v>
      </c>
      <c r="D36" s="6"/>
      <c r="E36" s="6">
        <f>(SUM('NC State Data'!E41,'NC State Data'!F41,'NC State Data'!N41))/1000000</f>
        <v>7.5305242099999994</v>
      </c>
      <c r="F36" s="6">
        <f>(SUM('NC State Data'!D41)/1000000)</f>
        <v>0.52466935999999997</v>
      </c>
      <c r="G36" s="6">
        <f>(SUM('NC State Data'!G41:M41,'NC State Data'!C41))/1000000</f>
        <v>1583.1024940900002</v>
      </c>
      <c r="H36" s="6"/>
      <c r="I36" s="6"/>
      <c r="L36" s="3">
        <f t="shared" si="0"/>
        <v>0.47327328198844909</v>
      </c>
      <c r="M36" s="3">
        <f t="shared" si="1"/>
        <v>3.2974064360119647E-2</v>
      </c>
      <c r="N36" s="3">
        <f t="shared" si="2"/>
        <v>99.493752653651427</v>
      </c>
      <c r="O36" s="3"/>
      <c r="P36" s="3"/>
    </row>
  </sheetData>
  <mergeCells count="1">
    <mergeCell ref="C3:G3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FE4BF-1101-4B75-B367-21420ED0FCE7}">
  <dimension ref="A1:AH41"/>
  <sheetViews>
    <sheetView zoomScale="55" zoomScaleNormal="55" workbookViewId="0">
      <selection activeCell="C21" sqref="C21"/>
    </sheetView>
  </sheetViews>
  <sheetFormatPr defaultRowHeight="14.4" x14ac:dyDescent="0.3"/>
  <cols>
    <col min="3" max="3" width="18.109375" customWidth="1"/>
    <col min="4" max="4" width="17.5546875" customWidth="1"/>
    <col min="5" max="5" width="15" customWidth="1"/>
    <col min="6" max="6" width="17.109375" customWidth="1"/>
    <col min="7" max="7" width="17" customWidth="1"/>
    <col min="8" max="8" width="17.21875" customWidth="1"/>
    <col min="9" max="9" width="13.44140625" customWidth="1"/>
    <col min="10" max="10" width="15.44140625" customWidth="1"/>
    <col min="11" max="11" width="15.33203125" customWidth="1"/>
    <col min="12" max="12" width="14.77734375" customWidth="1"/>
    <col min="13" max="13" width="16.109375" customWidth="1"/>
    <col min="14" max="14" width="12.88671875" customWidth="1"/>
    <col min="15" max="15" width="14.6640625" bestFit="1" customWidth="1"/>
    <col min="16" max="16" width="12.88671875" customWidth="1"/>
    <col min="17" max="17" width="15" customWidth="1"/>
    <col min="18" max="18" width="11" customWidth="1"/>
  </cols>
  <sheetData>
    <row r="1" spans="1:31" x14ac:dyDescent="0.3">
      <c r="A1" t="s">
        <v>51</v>
      </c>
    </row>
    <row r="2" spans="1:31" x14ac:dyDescent="0.3">
      <c r="A2" t="s">
        <v>52</v>
      </c>
    </row>
    <row r="4" spans="1:31" x14ac:dyDescent="0.3">
      <c r="C4" s="38" t="s">
        <v>34</v>
      </c>
      <c r="D4" s="38"/>
      <c r="E4" s="38"/>
      <c r="F4" s="38"/>
      <c r="G4" s="38"/>
      <c r="H4" s="38"/>
      <c r="I4" s="38"/>
      <c r="J4" s="38"/>
      <c r="K4" s="38"/>
      <c r="L4" s="38"/>
      <c r="M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</row>
    <row r="5" spans="1:31" x14ac:dyDescent="0.3">
      <c r="C5" t="s">
        <v>22</v>
      </c>
      <c r="D5" t="s">
        <v>23</v>
      </c>
      <c r="E5" t="s">
        <v>24</v>
      </c>
      <c r="F5" t="s">
        <v>25</v>
      </c>
      <c r="G5" t="s">
        <v>27</v>
      </c>
      <c r="H5" t="s">
        <v>26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37</v>
      </c>
      <c r="P5" t="s">
        <v>36</v>
      </c>
      <c r="Q5" t="s">
        <v>35</v>
      </c>
    </row>
    <row r="7" spans="1:31" x14ac:dyDescent="0.3">
      <c r="A7">
        <v>1944</v>
      </c>
    </row>
    <row r="8" spans="1:31" x14ac:dyDescent="0.3">
      <c r="A8">
        <v>1945</v>
      </c>
      <c r="C8" s="6">
        <v>222120171.69</v>
      </c>
      <c r="D8" s="6">
        <v>78543050</v>
      </c>
      <c r="E8" s="6">
        <v>0</v>
      </c>
      <c r="F8" s="6">
        <v>17704000</v>
      </c>
      <c r="G8" s="6">
        <v>87031500</v>
      </c>
      <c r="H8" s="6">
        <v>295000</v>
      </c>
      <c r="I8" s="6">
        <v>1584410</v>
      </c>
      <c r="J8" s="6">
        <v>2805500</v>
      </c>
      <c r="K8" s="6">
        <v>13904180</v>
      </c>
      <c r="L8" s="6"/>
      <c r="M8" s="6"/>
      <c r="N8" s="6"/>
      <c r="O8" s="6"/>
      <c r="P8" s="6"/>
      <c r="Q8" s="6">
        <v>20252531.690000001</v>
      </c>
    </row>
    <row r="9" spans="1:31" x14ac:dyDescent="0.3">
      <c r="A9">
        <v>1946</v>
      </c>
      <c r="C9" s="6">
        <v>257225958.09</v>
      </c>
      <c r="D9" s="6">
        <v>142236050</v>
      </c>
      <c r="E9" s="6"/>
      <c r="F9" s="6">
        <v>8618000</v>
      </c>
      <c r="G9" s="6">
        <v>75582500</v>
      </c>
      <c r="H9" s="6">
        <v>45000</v>
      </c>
      <c r="I9" s="6">
        <v>1432421.25</v>
      </c>
      <c r="J9" s="6">
        <v>2244500</v>
      </c>
      <c r="K9" s="6">
        <v>8718220</v>
      </c>
      <c r="L9" s="6"/>
      <c r="M9" s="6"/>
      <c r="N9" s="6"/>
      <c r="O9" s="6"/>
      <c r="P9" s="6"/>
      <c r="Q9" s="6">
        <v>18349266.84</v>
      </c>
    </row>
    <row r="10" spans="1:31" x14ac:dyDescent="0.3">
      <c r="A10">
        <v>1947</v>
      </c>
      <c r="C10" s="6">
        <v>276492404.11000001</v>
      </c>
      <c r="D10" s="6">
        <v>164058050</v>
      </c>
      <c r="E10" s="6">
        <v>0</v>
      </c>
      <c r="F10" s="6">
        <v>7300700</v>
      </c>
      <c r="G10" s="6">
        <v>80504500</v>
      </c>
      <c r="H10" s="6">
        <v>45000</v>
      </c>
      <c r="I10" s="6">
        <v>1331682.5</v>
      </c>
      <c r="J10" s="6">
        <v>2041000</v>
      </c>
      <c r="K10" s="6">
        <f>SUM(5154860,2794000,297000,150000)</f>
        <v>8395860</v>
      </c>
      <c r="L10" s="6">
        <v>0</v>
      </c>
      <c r="M10" s="6">
        <v>0</v>
      </c>
      <c r="N10" s="6">
        <v>0</v>
      </c>
      <c r="O10" s="6"/>
      <c r="P10" s="6"/>
      <c r="Q10" s="6">
        <v>12815811.609999999</v>
      </c>
    </row>
    <row r="11" spans="1:31" x14ac:dyDescent="0.3">
      <c r="A11">
        <v>1948</v>
      </c>
      <c r="C11" s="6">
        <v>308584633.56</v>
      </c>
      <c r="D11" s="6">
        <v>174214050</v>
      </c>
      <c r="E11" s="6">
        <v>0</v>
      </c>
      <c r="F11" s="6">
        <v>6777200</v>
      </c>
      <c r="G11" s="6">
        <v>104480500</v>
      </c>
      <c r="H11" s="6">
        <v>45000</v>
      </c>
      <c r="I11" s="6">
        <v>1239443.75</v>
      </c>
      <c r="J11" s="6">
        <v>1898500</v>
      </c>
      <c r="K11" s="6">
        <v>8419500</v>
      </c>
      <c r="L11" s="6">
        <v>0</v>
      </c>
      <c r="M11" s="6">
        <v>0</v>
      </c>
      <c r="N11" s="6">
        <v>0</v>
      </c>
      <c r="O11" s="6"/>
      <c r="P11" s="6"/>
      <c r="Q11" s="6">
        <v>11510439.810000001</v>
      </c>
    </row>
    <row r="12" spans="1:31" x14ac:dyDescent="0.3">
      <c r="A12">
        <v>1949</v>
      </c>
      <c r="C12" s="6">
        <v>347927352.19</v>
      </c>
      <c r="D12" s="6">
        <v>205712050</v>
      </c>
      <c r="E12" s="6">
        <v>0</v>
      </c>
      <c r="F12" s="6">
        <v>9094100</v>
      </c>
      <c r="G12" s="6">
        <v>108519500</v>
      </c>
      <c r="H12" s="6">
        <v>45000</v>
      </c>
      <c r="I12" s="6">
        <v>1143305</v>
      </c>
      <c r="J12" s="6">
        <v>1788000</v>
      </c>
      <c r="K12" s="6">
        <v>8320000</v>
      </c>
      <c r="L12" s="6">
        <v>0</v>
      </c>
      <c r="M12" s="6">
        <v>0</v>
      </c>
      <c r="N12" s="6">
        <v>0</v>
      </c>
      <c r="O12" s="6"/>
      <c r="P12" s="6"/>
      <c r="Q12" s="6">
        <v>13305397.189999999</v>
      </c>
    </row>
    <row r="13" spans="1:31" x14ac:dyDescent="0.3">
      <c r="A13">
        <v>1950</v>
      </c>
      <c r="C13" s="6">
        <v>405495497.17000002</v>
      </c>
      <c r="D13" s="6">
        <v>227166050</v>
      </c>
      <c r="E13" s="6">
        <v>0</v>
      </c>
      <c r="F13" s="6">
        <v>10264600</v>
      </c>
      <c r="G13" s="6">
        <v>109252500</v>
      </c>
      <c r="H13" s="6">
        <v>45000</v>
      </c>
      <c r="I13" s="6">
        <v>1054666.25</v>
      </c>
      <c r="J13" s="6">
        <v>1667500</v>
      </c>
      <c r="K13" s="6">
        <v>8022300</v>
      </c>
      <c r="L13" s="6">
        <v>35265.040000000001</v>
      </c>
      <c r="M13" s="6">
        <v>0</v>
      </c>
      <c r="N13" s="6">
        <v>0</v>
      </c>
      <c r="O13" s="6"/>
      <c r="P13" s="6"/>
      <c r="Q13" s="6">
        <v>47987615.880000003</v>
      </c>
    </row>
    <row r="14" spans="1:31" x14ac:dyDescent="0.3">
      <c r="A14">
        <v>1951</v>
      </c>
      <c r="C14" s="6">
        <v>470744205.44999999</v>
      </c>
      <c r="D14" s="6">
        <v>232339050</v>
      </c>
      <c r="E14" s="6">
        <v>0</v>
      </c>
      <c r="F14" s="6">
        <v>16428050</v>
      </c>
      <c r="G14" s="6">
        <v>109245500</v>
      </c>
      <c r="H14" s="6">
        <v>45000</v>
      </c>
      <c r="I14" s="6">
        <v>977177.5</v>
      </c>
      <c r="J14" s="6">
        <v>1564000</v>
      </c>
      <c r="K14" s="6">
        <v>7721100</v>
      </c>
      <c r="L14" s="6">
        <v>0</v>
      </c>
      <c r="M14" s="6">
        <v>0</v>
      </c>
      <c r="N14" s="6">
        <v>0</v>
      </c>
      <c r="O14" s="6"/>
      <c r="P14" s="6"/>
      <c r="Q14" s="6">
        <v>102424327.95</v>
      </c>
    </row>
    <row r="15" spans="1:31" x14ac:dyDescent="0.3">
      <c r="A15">
        <v>1952</v>
      </c>
      <c r="C15" s="6">
        <v>540296925.01999998</v>
      </c>
      <c r="D15" s="6">
        <v>274278050</v>
      </c>
      <c r="E15" s="6">
        <v>0</v>
      </c>
      <c r="F15" s="6">
        <v>15884250</v>
      </c>
      <c r="G15" s="6">
        <v>104541500</v>
      </c>
      <c r="H15" s="6">
        <v>45000</v>
      </c>
      <c r="I15" s="6">
        <v>911088.75</v>
      </c>
      <c r="J15" s="6">
        <v>1475500</v>
      </c>
      <c r="K15" s="6">
        <v>7416900</v>
      </c>
      <c r="L15" s="6">
        <v>0</v>
      </c>
      <c r="M15" s="6">
        <v>0</v>
      </c>
      <c r="N15" s="6">
        <v>0</v>
      </c>
      <c r="O15" s="6"/>
      <c r="P15" s="6"/>
      <c r="Q15" s="6">
        <v>135744636.27000001</v>
      </c>
    </row>
    <row r="16" spans="1:31" x14ac:dyDescent="0.3">
      <c r="A16">
        <v>1953</v>
      </c>
      <c r="C16" s="6">
        <v>594829001.42999995</v>
      </c>
      <c r="D16" s="6">
        <v>278754050</v>
      </c>
      <c r="E16" s="6">
        <v>9467000</v>
      </c>
      <c r="F16" s="6">
        <v>14938850</v>
      </c>
      <c r="G16" s="6">
        <v>109304500</v>
      </c>
      <c r="H16" s="6">
        <v>35000</v>
      </c>
      <c r="I16" s="6">
        <v>832500</v>
      </c>
      <c r="J16" s="6">
        <v>1342000</v>
      </c>
      <c r="K16" s="6">
        <v>9219700</v>
      </c>
      <c r="L16" s="6">
        <v>98778.43</v>
      </c>
      <c r="M16" s="6">
        <v>0</v>
      </c>
      <c r="N16" s="6">
        <v>0</v>
      </c>
      <c r="O16" s="6"/>
      <c r="P16" s="6"/>
      <c r="Q16" s="6">
        <v>170836623</v>
      </c>
    </row>
    <row r="17" spans="1:34" x14ac:dyDescent="0.3">
      <c r="A17">
        <v>1954</v>
      </c>
      <c r="C17" s="6">
        <v>683540383.04999995</v>
      </c>
      <c r="D17" s="6">
        <v>278834450</v>
      </c>
      <c r="E17" s="6">
        <v>17037000</v>
      </c>
      <c r="F17" s="6">
        <v>18763350</v>
      </c>
      <c r="G17" s="6">
        <v>116804500</v>
      </c>
      <c r="H17" s="6">
        <v>25000</v>
      </c>
      <c r="I17" s="6">
        <v>906700</v>
      </c>
      <c r="J17" s="6">
        <v>2418700</v>
      </c>
      <c r="K17" s="6">
        <v>44185940</v>
      </c>
      <c r="L17" s="6">
        <v>9000000</v>
      </c>
      <c r="M17" s="6">
        <v>0</v>
      </c>
      <c r="N17" s="6">
        <v>0</v>
      </c>
      <c r="O17" s="6"/>
      <c r="P17" s="6"/>
      <c r="Q17" s="6">
        <v>195564743.05000001</v>
      </c>
    </row>
    <row r="18" spans="1:34" x14ac:dyDescent="0.3">
      <c r="A18">
        <v>1955</v>
      </c>
      <c r="C18" s="6">
        <v>774425327.96000004</v>
      </c>
      <c r="D18" s="6">
        <v>318006050</v>
      </c>
      <c r="E18" s="6">
        <v>17037000</v>
      </c>
      <c r="F18" s="6">
        <v>63666472</v>
      </c>
      <c r="G18" s="6">
        <v>119328500</v>
      </c>
      <c r="H18" s="6">
        <v>21000</v>
      </c>
      <c r="I18" s="6">
        <v>899500</v>
      </c>
      <c r="J18" s="6">
        <v>2367000</v>
      </c>
      <c r="K18" s="6">
        <v>60834800</v>
      </c>
      <c r="L18" s="6">
        <v>708429.16</v>
      </c>
      <c r="M18" s="6">
        <v>0</v>
      </c>
      <c r="N18" s="6">
        <v>0</v>
      </c>
      <c r="O18" s="6"/>
      <c r="P18" s="6"/>
      <c r="Q18" s="6">
        <v>191556576.80000001</v>
      </c>
    </row>
    <row r="19" spans="1:34" x14ac:dyDescent="0.3">
      <c r="A19">
        <v>1956</v>
      </c>
      <c r="C19" s="6">
        <v>876452044.77999997</v>
      </c>
      <c r="D19" s="6">
        <v>389671050</v>
      </c>
      <c r="E19" s="6">
        <v>24282000</v>
      </c>
      <c r="F19" s="6">
        <v>69738022</v>
      </c>
      <c r="G19" s="6">
        <v>119606250</v>
      </c>
      <c r="H19" s="6">
        <v>11000</v>
      </c>
      <c r="I19" s="6">
        <v>814000</v>
      </c>
      <c r="J19" s="6">
        <v>2223000</v>
      </c>
      <c r="K19" s="6">
        <v>68809000</v>
      </c>
      <c r="L19" s="6">
        <f>SUM(5445009.95,9875000)</f>
        <v>15320009.949999999</v>
      </c>
      <c r="M19" s="6">
        <v>0</v>
      </c>
      <c r="N19" s="6">
        <v>0</v>
      </c>
      <c r="O19" s="6"/>
      <c r="P19" s="6"/>
      <c r="Q19" s="6">
        <v>185977712.83000001</v>
      </c>
    </row>
    <row r="20" spans="1:34" x14ac:dyDescent="0.3">
      <c r="A20">
        <v>1957</v>
      </c>
      <c r="C20" s="6">
        <v>987012395.48000002</v>
      </c>
      <c r="D20" s="6">
        <v>467238950</v>
      </c>
      <c r="E20" s="6">
        <v>25872000</v>
      </c>
      <c r="F20" s="6">
        <v>73566522</v>
      </c>
      <c r="G20" s="6">
        <v>121003250</v>
      </c>
      <c r="H20" s="6">
        <v>6000</v>
      </c>
      <c r="I20" s="6">
        <v>1007000</v>
      </c>
      <c r="J20" s="6">
        <v>2702000</v>
      </c>
      <c r="K20" s="6">
        <v>93201200</v>
      </c>
      <c r="L20" s="6">
        <f>SUM(10855120.06,9875000)</f>
        <v>20730120.060000002</v>
      </c>
      <c r="M20" s="6"/>
      <c r="N20" s="6"/>
      <c r="O20" s="6"/>
      <c r="P20" s="6"/>
      <c r="Q20" s="6">
        <v>181685353.41999999</v>
      </c>
    </row>
    <row r="21" spans="1:34" x14ac:dyDescent="0.3">
      <c r="A21">
        <v>1958</v>
      </c>
      <c r="C21" s="6">
        <v>1098574411.46</v>
      </c>
      <c r="D21" s="6">
        <v>514713950</v>
      </c>
      <c r="E21" s="6">
        <v>25872000</v>
      </c>
      <c r="F21" s="6">
        <v>80175522</v>
      </c>
      <c r="G21" s="6">
        <v>121081250</v>
      </c>
      <c r="H21" s="6">
        <v>2006000</v>
      </c>
      <c r="I21" s="6">
        <v>1117500</v>
      </c>
      <c r="J21" s="6">
        <v>3050000</v>
      </c>
      <c r="K21" s="6">
        <v>121633300</v>
      </c>
      <c r="L21" s="6">
        <f>SUM(19374374.95,13998649.06,9875000, 1021017)</f>
        <v>44269041.009999998</v>
      </c>
      <c r="M21" s="6"/>
      <c r="N21" s="6"/>
      <c r="O21" s="6"/>
      <c r="P21" s="6"/>
      <c r="Q21" s="6">
        <v>184655848.44999999</v>
      </c>
    </row>
    <row r="22" spans="1:34" x14ac:dyDescent="0.3">
      <c r="A22">
        <v>1959</v>
      </c>
      <c r="C22" s="6">
        <v>1233935929.4000001</v>
      </c>
      <c r="D22" s="6">
        <v>548403950</v>
      </c>
      <c r="E22" s="6">
        <v>33372000</v>
      </c>
      <c r="F22" s="6">
        <v>74711522</v>
      </c>
      <c r="G22" s="6">
        <v>102583750</v>
      </c>
      <c r="H22" s="6">
        <v>2006000</v>
      </c>
      <c r="I22" s="6">
        <v>1039000</v>
      </c>
      <c r="J22" s="6">
        <v>3091000</v>
      </c>
      <c r="K22" s="6">
        <v>133070400</v>
      </c>
      <c r="L22" s="6">
        <f>SUM(8742500,51070740.33,14141565.24,9875000)</f>
        <v>83829805.569999993</v>
      </c>
      <c r="M22" s="6">
        <v>0</v>
      </c>
      <c r="N22" s="6">
        <v>0</v>
      </c>
      <c r="O22" s="6"/>
      <c r="P22" s="6"/>
      <c r="Q22" s="6">
        <v>251828501.83000001</v>
      </c>
    </row>
    <row r="23" spans="1:34" x14ac:dyDescent="0.3">
      <c r="A23">
        <v>1960</v>
      </c>
      <c r="C23" s="6">
        <v>1385585754.97</v>
      </c>
      <c r="D23" s="6">
        <v>580593900</v>
      </c>
      <c r="E23" s="6">
        <v>33372000</v>
      </c>
      <c r="F23" s="6">
        <v>76164522</v>
      </c>
      <c r="G23" s="6">
        <v>81980750</v>
      </c>
      <c r="H23" s="6">
        <v>2006000</v>
      </c>
      <c r="I23" s="39">
        <v>3965000</v>
      </c>
      <c r="J23" s="39"/>
      <c r="K23" s="6">
        <v>133215500</v>
      </c>
      <c r="L23" s="6">
        <v>432844082.97000003</v>
      </c>
      <c r="M23" s="6">
        <v>41444000</v>
      </c>
      <c r="N23" s="6">
        <v>0</v>
      </c>
      <c r="O23" s="6"/>
      <c r="P23" s="6"/>
      <c r="Q23" s="6"/>
      <c r="AH23" s="7"/>
    </row>
    <row r="24" spans="1:34" x14ac:dyDescent="0.3">
      <c r="A24">
        <v>1961</v>
      </c>
      <c r="C24" s="6">
        <v>1514466501.4300001</v>
      </c>
      <c r="D24" s="6">
        <v>535114300</v>
      </c>
      <c r="E24" s="6">
        <v>33372000</v>
      </c>
      <c r="F24" s="6">
        <v>75403522</v>
      </c>
      <c r="G24" s="6">
        <v>71696750</v>
      </c>
      <c r="H24" s="6">
        <v>2006000</v>
      </c>
      <c r="I24" s="39">
        <v>3800000</v>
      </c>
      <c r="J24" s="39"/>
      <c r="K24" s="6">
        <v>132196100</v>
      </c>
      <c r="L24" s="6">
        <v>530410181.13</v>
      </c>
      <c r="M24" s="6">
        <v>125096666.67</v>
      </c>
      <c r="N24" s="6">
        <v>5370981.6299999999</v>
      </c>
      <c r="O24" s="6"/>
      <c r="P24" s="6"/>
      <c r="Q24" s="6"/>
    </row>
    <row r="25" spans="1:34" x14ac:dyDescent="0.3">
      <c r="A25">
        <v>1962</v>
      </c>
      <c r="C25" s="6">
        <v>1653342335.45</v>
      </c>
      <c r="D25" s="6">
        <v>527211050</v>
      </c>
      <c r="E25" s="6">
        <v>33372000</v>
      </c>
      <c r="F25" s="6">
        <v>74880522</v>
      </c>
      <c r="G25" s="6">
        <v>70702750</v>
      </c>
      <c r="H25" s="39">
        <v>5274000</v>
      </c>
      <c r="I25" s="39"/>
      <c r="J25" s="39"/>
      <c r="K25" s="6">
        <v>121458200</v>
      </c>
      <c r="L25" s="6">
        <v>0</v>
      </c>
      <c r="M25" s="39">
        <v>254412832.94</v>
      </c>
      <c r="N25" s="39"/>
      <c r="O25" s="11">
        <v>566030980.50999999</v>
      </c>
      <c r="P25" s="11">
        <v>0</v>
      </c>
      <c r="Q25" s="6"/>
    </row>
    <row r="26" spans="1:34" x14ac:dyDescent="0.3">
      <c r="A26">
        <v>1963</v>
      </c>
      <c r="C26" s="6">
        <v>1819711101.3599999</v>
      </c>
      <c r="D26" s="6">
        <v>611180350</v>
      </c>
      <c r="E26" s="6">
        <v>33372000</v>
      </c>
      <c r="F26" s="6">
        <v>41560522</v>
      </c>
      <c r="G26" s="6">
        <v>61492750</v>
      </c>
      <c r="H26" s="39">
        <v>3998000</v>
      </c>
      <c r="I26" s="39"/>
      <c r="J26" s="39"/>
      <c r="K26" s="6">
        <v>100474300</v>
      </c>
      <c r="L26" s="6">
        <v>0</v>
      </c>
      <c r="M26" s="39">
        <v>352868752.22000003</v>
      </c>
      <c r="N26" s="39"/>
      <c r="O26" s="6">
        <v>614764427.13999999</v>
      </c>
      <c r="P26" s="6"/>
      <c r="Q26" s="6"/>
    </row>
    <row r="27" spans="1:34" x14ac:dyDescent="0.3">
      <c r="A27">
        <v>1964</v>
      </c>
      <c r="C27" s="6">
        <v>2011443388.24</v>
      </c>
      <c r="D27" s="6">
        <v>723410850</v>
      </c>
      <c r="E27" s="6">
        <v>18312000</v>
      </c>
      <c r="F27" s="6">
        <v>36969522</v>
      </c>
      <c r="G27" s="6">
        <v>39531750</v>
      </c>
      <c r="H27" s="39">
        <v>3831500</v>
      </c>
      <c r="I27" s="39"/>
      <c r="J27" s="39"/>
      <c r="K27" s="6">
        <v>61650400</v>
      </c>
      <c r="L27" s="6">
        <v>0</v>
      </c>
      <c r="M27" s="39">
        <v>446201952.82999998</v>
      </c>
      <c r="N27" s="39"/>
      <c r="O27" s="6">
        <v>676535413.40999997</v>
      </c>
      <c r="P27" s="6">
        <v>5000000</v>
      </c>
      <c r="Q27" s="6"/>
    </row>
    <row r="28" spans="1:34" x14ac:dyDescent="0.3">
      <c r="A28">
        <v>1965</v>
      </c>
      <c r="C28" s="6">
        <v>2218883394</v>
      </c>
      <c r="D28" s="6">
        <v>856109850</v>
      </c>
      <c r="E28" s="6">
        <v>10195000</v>
      </c>
      <c r="F28" s="6">
        <v>19466522</v>
      </c>
      <c r="G28" s="6">
        <v>4117000</v>
      </c>
      <c r="H28" s="39">
        <v>2855000</v>
      </c>
      <c r="I28" s="39"/>
      <c r="J28" s="39"/>
      <c r="K28" s="6">
        <v>27375500</v>
      </c>
      <c r="L28" s="6">
        <v>0</v>
      </c>
      <c r="M28" s="39">
        <v>576435685</v>
      </c>
      <c r="N28" s="39"/>
      <c r="O28" s="6">
        <v>722328837</v>
      </c>
      <c r="P28" s="6">
        <v>0</v>
      </c>
      <c r="Q28" s="6"/>
    </row>
    <row r="29" spans="1:34" x14ac:dyDescent="0.3">
      <c r="A29">
        <v>1966</v>
      </c>
      <c r="C29" s="6">
        <v>2430336435</v>
      </c>
      <c r="D29" s="6">
        <v>830828000</v>
      </c>
      <c r="E29" s="6">
        <v>7660000</v>
      </c>
      <c r="F29" s="6">
        <v>9485522</v>
      </c>
      <c r="G29" s="6">
        <v>0</v>
      </c>
      <c r="H29" s="39">
        <v>2724000</v>
      </c>
      <c r="I29" s="39"/>
      <c r="J29" s="39"/>
      <c r="K29" s="6">
        <v>22004000</v>
      </c>
      <c r="L29" s="6">
        <v>0</v>
      </c>
      <c r="M29" s="39">
        <v>743406733</v>
      </c>
      <c r="N29" s="39"/>
      <c r="O29" s="6">
        <v>814228180</v>
      </c>
      <c r="P29" s="6">
        <v>0</v>
      </c>
      <c r="Q29" s="6"/>
    </row>
    <row r="30" spans="1:34" x14ac:dyDescent="0.3">
      <c r="C30" s="6"/>
      <c r="D30" s="6"/>
      <c r="E30" s="6"/>
      <c r="F30" s="6"/>
      <c r="G30" s="6"/>
      <c r="H30" s="11"/>
      <c r="I30" s="11"/>
      <c r="J30" s="11"/>
      <c r="K30" s="6"/>
      <c r="L30" s="6"/>
      <c r="M30" s="11"/>
      <c r="N30" s="11"/>
      <c r="O30" s="6"/>
      <c r="P30" s="6"/>
      <c r="Q30" s="6"/>
    </row>
    <row r="31" spans="1:34" x14ac:dyDescent="0.3">
      <c r="C31" s="6" t="s">
        <v>22</v>
      </c>
      <c r="D31" s="6" t="s">
        <v>38</v>
      </c>
      <c r="E31" s="6" t="s">
        <v>39</v>
      </c>
      <c r="F31" s="6" t="s">
        <v>40</v>
      </c>
      <c r="G31" s="12" t="s">
        <v>37</v>
      </c>
      <c r="H31" s="12" t="s">
        <v>41</v>
      </c>
      <c r="I31" s="12" t="s">
        <v>36</v>
      </c>
      <c r="J31" s="12" t="s">
        <v>42</v>
      </c>
      <c r="K31" s="12" t="s">
        <v>43</v>
      </c>
      <c r="L31" s="12" t="s">
        <v>30</v>
      </c>
      <c r="M31" s="11"/>
      <c r="N31" s="11"/>
      <c r="O31" s="6"/>
      <c r="P31" s="6"/>
      <c r="Q31" s="6"/>
      <c r="Y31" s="1"/>
      <c r="Z31" s="1"/>
      <c r="AA31" s="1"/>
      <c r="AB31" s="1"/>
      <c r="AC31" s="1"/>
    </row>
    <row r="32" spans="1:34" x14ac:dyDescent="0.3">
      <c r="A32">
        <v>1967</v>
      </c>
      <c r="C32" s="6">
        <v>2682697082</v>
      </c>
      <c r="D32" s="6">
        <v>631773000</v>
      </c>
      <c r="E32" s="6">
        <v>148477400</v>
      </c>
      <c r="F32" s="6">
        <v>852523822</v>
      </c>
      <c r="G32" s="6">
        <v>893564900</v>
      </c>
      <c r="H32" s="6">
        <v>114357938</v>
      </c>
      <c r="I32" s="6">
        <v>600000</v>
      </c>
      <c r="J32" s="6">
        <v>17017522</v>
      </c>
      <c r="K32" s="6">
        <v>2668000</v>
      </c>
      <c r="L32" s="6">
        <v>21714500</v>
      </c>
      <c r="M32" s="6"/>
      <c r="N32" s="6"/>
      <c r="O32" s="6"/>
      <c r="P32" s="6"/>
      <c r="Q32" s="6"/>
    </row>
    <row r="33" spans="1:17" x14ac:dyDescent="0.3">
      <c r="A33">
        <v>1968</v>
      </c>
      <c r="C33" s="6">
        <v>2969913753</v>
      </c>
      <c r="D33" s="6">
        <v>604640000</v>
      </c>
      <c r="E33" s="6">
        <v>199027950</v>
      </c>
      <c r="F33" s="6">
        <v>1007862503</v>
      </c>
      <c r="G33" s="6">
        <v>939552276</v>
      </c>
      <c r="H33" s="6">
        <v>157797502</v>
      </c>
      <c r="I33" s="6">
        <v>20500000</v>
      </c>
      <c r="J33" s="6">
        <v>16555522</v>
      </c>
      <c r="K33" s="6">
        <v>2620000</v>
      </c>
      <c r="L33" s="6">
        <v>21358000</v>
      </c>
      <c r="M33" s="6"/>
      <c r="N33" s="6"/>
      <c r="O33" s="6"/>
      <c r="P33" s="6"/>
      <c r="Q33" s="6"/>
    </row>
    <row r="34" spans="1:17" x14ac:dyDescent="0.3">
      <c r="A34">
        <v>1969</v>
      </c>
      <c r="C34" s="6">
        <v>3276938087</v>
      </c>
      <c r="D34" s="6">
        <v>761469000</v>
      </c>
      <c r="E34" s="6">
        <v>129065150</v>
      </c>
      <c r="F34" s="6">
        <v>1126941406</v>
      </c>
      <c r="G34" s="6">
        <v>955279505</v>
      </c>
      <c r="H34" s="6">
        <v>264047504</v>
      </c>
      <c r="I34" s="6">
        <v>0</v>
      </c>
      <c r="J34" s="6">
        <v>16458522</v>
      </c>
      <c r="K34" s="6">
        <v>2572000</v>
      </c>
      <c r="L34" s="6">
        <v>21105000</v>
      </c>
      <c r="M34" s="6"/>
      <c r="N34" s="6"/>
      <c r="O34" s="6"/>
      <c r="P34" s="6"/>
      <c r="Q34" s="6"/>
    </row>
    <row r="35" spans="1:17" x14ac:dyDescent="0.3">
      <c r="A35">
        <v>1970</v>
      </c>
      <c r="C35" s="6">
        <v>3606467083</v>
      </c>
      <c r="D35" s="6">
        <v>508268000</v>
      </c>
      <c r="E35" s="6">
        <v>363116177</v>
      </c>
      <c r="F35" s="6">
        <v>1275892631</v>
      </c>
      <c r="G35" s="6">
        <v>973668707</v>
      </c>
      <c r="H35" s="6">
        <v>420275046</v>
      </c>
      <c r="I35" s="6">
        <v>25500000</v>
      </c>
      <c r="J35" s="6">
        <v>16361522</v>
      </c>
      <c r="K35" s="6">
        <v>2531000</v>
      </c>
      <c r="L35" s="6">
        <v>20854000</v>
      </c>
      <c r="M35" s="6"/>
      <c r="N35" s="6"/>
      <c r="O35" s="6"/>
      <c r="P35" s="6"/>
      <c r="Q35" s="6"/>
    </row>
    <row r="36" spans="1:17" x14ac:dyDescent="0.3">
      <c r="A36">
        <v>1971</v>
      </c>
      <c r="C36" s="6">
        <v>3960629720</v>
      </c>
      <c r="D36" s="6">
        <v>730377467</v>
      </c>
      <c r="E36" s="6">
        <v>134570400</v>
      </c>
      <c r="F36" s="6">
        <v>1375836053</v>
      </c>
      <c r="G36" s="6">
        <v>1011095201</v>
      </c>
      <c r="H36" s="6">
        <v>646162077</v>
      </c>
      <c r="I36" s="6">
        <v>23300000</v>
      </c>
      <c r="J36" s="6">
        <v>16282522</v>
      </c>
      <c r="K36" s="6">
        <v>2501000</v>
      </c>
      <c r="L36" s="6">
        <v>20505000</v>
      </c>
      <c r="M36" s="6"/>
      <c r="N36" s="6"/>
      <c r="O36" s="6"/>
      <c r="P36" s="6"/>
      <c r="Q36" s="6"/>
    </row>
    <row r="37" spans="1:17" x14ac:dyDescent="0.3">
      <c r="A37">
        <v>1972</v>
      </c>
      <c r="C37" s="6">
        <v>4450370857</v>
      </c>
      <c r="D37" s="6">
        <v>760269811</v>
      </c>
      <c r="E37" s="6">
        <v>132094500</v>
      </c>
      <c r="F37" s="6">
        <v>1569248153</v>
      </c>
      <c r="G37" s="6">
        <v>1026278319</v>
      </c>
      <c r="H37" s="6">
        <v>890181552</v>
      </c>
      <c r="I37" s="6">
        <v>33550000</v>
      </c>
      <c r="J37" s="6">
        <v>16138522</v>
      </c>
      <c r="K37" s="6">
        <v>2474000</v>
      </c>
      <c r="L37" s="6">
        <v>20136000</v>
      </c>
      <c r="M37" s="6"/>
      <c r="N37" s="6"/>
      <c r="O37" s="6"/>
      <c r="P37" s="6"/>
      <c r="Q37" s="6"/>
    </row>
    <row r="38" spans="1:17" x14ac:dyDescent="0.3"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1:17" x14ac:dyDescent="0.3">
      <c r="C39" s="12" t="s">
        <v>22</v>
      </c>
      <c r="D39" s="12" t="s">
        <v>44</v>
      </c>
      <c r="E39" s="12" t="s">
        <v>45</v>
      </c>
      <c r="F39" s="12" t="s">
        <v>47</v>
      </c>
      <c r="G39" s="12" t="s">
        <v>37</v>
      </c>
      <c r="H39" s="12" t="s">
        <v>41</v>
      </c>
      <c r="I39" s="12" t="s">
        <v>36</v>
      </c>
      <c r="J39" s="12" t="s">
        <v>46</v>
      </c>
      <c r="K39" s="12"/>
      <c r="L39" s="12" t="s">
        <v>30</v>
      </c>
      <c r="M39" s="11"/>
      <c r="N39" s="6"/>
      <c r="O39" s="6"/>
      <c r="P39" s="6"/>
      <c r="Q39" s="6"/>
    </row>
    <row r="40" spans="1:17" x14ac:dyDescent="0.3">
      <c r="A40">
        <v>1973</v>
      </c>
      <c r="C40" s="6">
        <v>5000245982</v>
      </c>
      <c r="D40" s="6">
        <v>295246963</v>
      </c>
      <c r="E40" s="6">
        <v>555112575</v>
      </c>
      <c r="F40" s="6">
        <v>1909036458</v>
      </c>
      <c r="G40" s="6">
        <f>SUM(645651175,344919640,35864919)</f>
        <v>1026435734</v>
      </c>
      <c r="H40" s="6">
        <v>1123198730</v>
      </c>
      <c r="I40" s="6">
        <v>52750000</v>
      </c>
      <c r="J40" s="6">
        <v>18515522</v>
      </c>
      <c r="K40" s="6"/>
      <c r="L40" s="6">
        <v>19950000</v>
      </c>
      <c r="M40" s="6"/>
      <c r="N40" s="6"/>
      <c r="O40" s="6"/>
      <c r="P40" s="6"/>
      <c r="Q40" s="6"/>
    </row>
    <row r="41" spans="1:17" x14ac:dyDescent="0.3">
      <c r="A41">
        <v>1974</v>
      </c>
      <c r="C41" s="6">
        <v>5560238964</v>
      </c>
      <c r="D41" s="6">
        <v>111977572</v>
      </c>
      <c r="E41" s="6">
        <v>445851613</v>
      </c>
      <c r="F41" s="6">
        <v>2343957545</v>
      </c>
      <c r="G41" s="6">
        <f>SUM(603704778,570109309,32036522)</f>
        <v>1205850609</v>
      </c>
      <c r="H41" s="6">
        <v>1409166103</v>
      </c>
      <c r="I41" s="6">
        <v>5600000</v>
      </c>
      <c r="J41" s="6">
        <v>18428522</v>
      </c>
      <c r="K41" s="6"/>
      <c r="L41" s="6">
        <v>19407000</v>
      </c>
      <c r="M41" s="6"/>
      <c r="N41" s="6"/>
      <c r="O41" s="6"/>
      <c r="P41" s="6"/>
      <c r="Q41" s="6"/>
    </row>
  </sheetData>
  <mergeCells count="14">
    <mergeCell ref="C4:M4"/>
    <mergeCell ref="T4:AE4"/>
    <mergeCell ref="I24:J24"/>
    <mergeCell ref="I23:J23"/>
    <mergeCell ref="H25:J25"/>
    <mergeCell ref="M25:N25"/>
    <mergeCell ref="H29:J29"/>
    <mergeCell ref="M29:N29"/>
    <mergeCell ref="H26:J26"/>
    <mergeCell ref="M26:N26"/>
    <mergeCell ref="H27:J27"/>
    <mergeCell ref="M27:N27"/>
    <mergeCell ref="H28:J28"/>
    <mergeCell ref="M28:N28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890773-E26C-4CC0-89FC-F5BF9388CFA4}">
  <dimension ref="A1:N34"/>
  <sheetViews>
    <sheetView zoomScale="62" zoomScaleNormal="70" workbookViewId="0">
      <selection activeCell="G43" sqref="G43"/>
    </sheetView>
  </sheetViews>
  <sheetFormatPr defaultRowHeight="14.4" x14ac:dyDescent="0.3"/>
  <cols>
    <col min="2" max="2" width="7.21875" customWidth="1"/>
    <col min="3" max="3" width="13.5546875" bestFit="1" customWidth="1"/>
    <col min="4" max="4" width="9.77734375" customWidth="1"/>
    <col min="5" max="5" width="13.77734375" customWidth="1"/>
    <col min="6" max="6" width="12.6640625" customWidth="1"/>
    <col min="7" max="7" width="13.21875" customWidth="1"/>
  </cols>
  <sheetData>
    <row r="1" spans="1:14" x14ac:dyDescent="0.3">
      <c r="A1" t="s">
        <v>54</v>
      </c>
    </row>
    <row r="2" spans="1:14" x14ac:dyDescent="0.3">
      <c r="A2" t="s">
        <v>55</v>
      </c>
    </row>
    <row r="3" spans="1:14" x14ac:dyDescent="0.3">
      <c r="C3" s="57" t="s">
        <v>34</v>
      </c>
      <c r="D3" s="57"/>
      <c r="E3" s="57"/>
      <c r="F3" s="57"/>
      <c r="G3" s="57"/>
    </row>
    <row r="4" spans="1:14" x14ac:dyDescent="0.3">
      <c r="C4" s="58" t="s">
        <v>0</v>
      </c>
      <c r="D4" s="58"/>
      <c r="E4" s="58" t="s">
        <v>3</v>
      </c>
      <c r="F4" s="58" t="s">
        <v>2</v>
      </c>
      <c r="G4" s="58" t="s">
        <v>4</v>
      </c>
      <c r="L4" t="s">
        <v>3</v>
      </c>
      <c r="M4" t="s">
        <v>2</v>
      </c>
      <c r="N4" t="s">
        <v>4</v>
      </c>
    </row>
    <row r="5" spans="1:14" x14ac:dyDescent="0.3">
      <c r="A5">
        <v>1945</v>
      </c>
      <c r="B5" s="6"/>
      <c r="C5" s="56">
        <f>('NYSERS Data'!C8)/1000000</f>
        <v>222.12017169000001</v>
      </c>
      <c r="D5" s="56"/>
      <c r="E5" s="56">
        <f>SUM('NYSERS Data'!E8:K8)/1000000</f>
        <v>123.32459</v>
      </c>
      <c r="F5" s="56">
        <f>SUM('NYSERS Data'!D8)/1000000</f>
        <v>78.543049999999994</v>
      </c>
      <c r="G5" s="56">
        <f>SUM('NYSERS Data'!L8:Q8)/1000000</f>
        <v>20.252531690000001</v>
      </c>
      <c r="H5" s="3"/>
      <c r="I5" s="3"/>
      <c r="J5" s="3"/>
      <c r="K5" s="3"/>
      <c r="L5" s="3">
        <f>(E5/C5)*100</f>
        <v>55.521562522523546</v>
      </c>
      <c r="M5" s="3">
        <f>(F5/C5)*100</f>
        <v>35.360611061303288</v>
      </c>
      <c r="N5" s="3">
        <f>(G5/C5)*100</f>
        <v>9.1178264161731626</v>
      </c>
    </row>
    <row r="6" spans="1:14" x14ac:dyDescent="0.3">
      <c r="A6">
        <v>1946</v>
      </c>
      <c r="B6" s="6"/>
      <c r="C6" s="56">
        <f>('NYSERS Data'!C9)/1000000</f>
        <v>257.22595809000001</v>
      </c>
      <c r="D6" s="56"/>
      <c r="E6" s="56">
        <f>SUM('NYSERS Data'!E9:K9)/1000000</f>
        <v>96.640641250000002</v>
      </c>
      <c r="F6" s="56">
        <f>SUM('NYSERS Data'!D9)/1000000</f>
        <v>142.23605000000001</v>
      </c>
      <c r="G6" s="56">
        <f>SUM('NYSERS Data'!L9:Q9)/1000000</f>
        <v>18.349266839999999</v>
      </c>
      <c r="H6" s="3"/>
      <c r="I6" s="3"/>
      <c r="J6" s="3"/>
      <c r="K6" s="3"/>
      <c r="L6" s="3">
        <f t="shared" ref="L6:L34" si="0">(E6/C6)*100</f>
        <v>37.570329980532797</v>
      </c>
      <c r="M6" s="3">
        <f t="shared" ref="M6:M34" si="1">(F6/C6)*100</f>
        <v>55.296149368499371</v>
      </c>
      <c r="N6" s="3">
        <f t="shared" ref="N6:N34" si="2">(G6/C6)*100</f>
        <v>7.1335206509678271</v>
      </c>
    </row>
    <row r="7" spans="1:14" x14ac:dyDescent="0.3">
      <c r="A7">
        <v>1947</v>
      </c>
      <c r="B7" s="6"/>
      <c r="C7" s="56">
        <f>('NYSERS Data'!C10)/1000000</f>
        <v>276.49240411</v>
      </c>
      <c r="D7" s="56"/>
      <c r="E7" s="56">
        <f>SUM('NYSERS Data'!E10:K10)/1000000</f>
        <v>99.618742499999996</v>
      </c>
      <c r="F7" s="56">
        <f>SUM('NYSERS Data'!D10)/1000000</f>
        <v>164.05805000000001</v>
      </c>
      <c r="G7" s="56">
        <f>SUM('NYSERS Data'!L10:Q10)/1000000</f>
        <v>12.815811609999999</v>
      </c>
      <c r="H7" s="3"/>
      <c r="I7" s="3"/>
      <c r="J7" s="3"/>
      <c r="K7" s="3"/>
      <c r="L7" s="3">
        <f t="shared" si="0"/>
        <v>36.029468086352054</v>
      </c>
      <c r="M7" s="3">
        <f t="shared" si="1"/>
        <v>59.33546367325556</v>
      </c>
      <c r="N7" s="3">
        <f t="shared" si="2"/>
        <v>4.6351405751101016</v>
      </c>
    </row>
    <row r="8" spans="1:14" x14ac:dyDescent="0.3">
      <c r="A8">
        <v>1948</v>
      </c>
      <c r="B8" s="6"/>
      <c r="C8" s="56">
        <f>('NYSERS Data'!C11)/1000000</f>
        <v>308.58463355999999</v>
      </c>
      <c r="D8" s="56"/>
      <c r="E8" s="56">
        <f>SUM('NYSERS Data'!E11:K11)/1000000</f>
        <v>122.86014375000001</v>
      </c>
      <c r="F8" s="56">
        <f>SUM('NYSERS Data'!D11)/1000000</f>
        <v>174.21404999999999</v>
      </c>
      <c r="G8" s="56">
        <f>SUM('NYSERS Data'!L11:Q11)/1000000</f>
        <v>11.510439810000001</v>
      </c>
      <c r="H8" s="3"/>
      <c r="I8" s="3"/>
      <c r="J8" s="3"/>
      <c r="K8" s="3"/>
      <c r="L8" s="3">
        <f t="shared" si="0"/>
        <v>39.814083524710433</v>
      </c>
      <c r="M8" s="3">
        <f t="shared" si="1"/>
        <v>56.455840976322136</v>
      </c>
      <c r="N8" s="3">
        <f t="shared" si="2"/>
        <v>3.7300754989674356</v>
      </c>
    </row>
    <row r="9" spans="1:14" x14ac:dyDescent="0.3">
      <c r="A9">
        <v>1949</v>
      </c>
      <c r="B9" s="6"/>
      <c r="C9" s="56">
        <f>('NYSERS Data'!C12)/1000000</f>
        <v>347.92735219000002</v>
      </c>
      <c r="D9" s="56"/>
      <c r="E9" s="56">
        <f>SUM('NYSERS Data'!E12:K12)/1000000</f>
        <v>128.90990500000001</v>
      </c>
      <c r="F9" s="56">
        <f>SUM('NYSERS Data'!D12)/1000000</f>
        <v>205.71205</v>
      </c>
      <c r="G9" s="56">
        <f>SUM('NYSERS Data'!L12:Q12)/1000000</f>
        <v>13.305397189999999</v>
      </c>
      <c r="H9" s="3"/>
      <c r="I9" s="3"/>
      <c r="J9" s="3"/>
      <c r="K9" s="3"/>
      <c r="L9" s="3">
        <f t="shared" si="0"/>
        <v>37.050810805355553</v>
      </c>
      <c r="M9" s="3">
        <f t="shared" si="1"/>
        <v>59.125000867325447</v>
      </c>
      <c r="N9" s="3">
        <f t="shared" si="2"/>
        <v>3.8241883273189856</v>
      </c>
    </row>
    <row r="10" spans="1:14" x14ac:dyDescent="0.3">
      <c r="A10">
        <v>1950</v>
      </c>
      <c r="B10" s="6"/>
      <c r="C10" s="56">
        <f>('NYSERS Data'!C13)/1000000</f>
        <v>405.49549717000002</v>
      </c>
      <c r="D10" s="56"/>
      <c r="E10" s="56">
        <f>SUM('NYSERS Data'!E13:K13)/1000000</f>
        <v>130.30656625</v>
      </c>
      <c r="F10" s="56">
        <f>SUM('NYSERS Data'!D13)/1000000</f>
        <v>227.16605000000001</v>
      </c>
      <c r="G10" s="56">
        <f>SUM('NYSERS Data'!L13:Q13)/1000000</f>
        <v>48.022880919999999</v>
      </c>
      <c r="H10" s="3"/>
      <c r="I10" s="3"/>
      <c r="J10" s="3"/>
      <c r="K10" s="3"/>
      <c r="L10" s="3">
        <f t="shared" si="0"/>
        <v>32.135145065586322</v>
      </c>
      <c r="M10" s="3">
        <f t="shared" si="1"/>
        <v>56.021842803537439</v>
      </c>
      <c r="N10" s="3">
        <f t="shared" si="2"/>
        <v>11.843012130876234</v>
      </c>
    </row>
    <row r="11" spans="1:14" x14ac:dyDescent="0.3">
      <c r="A11">
        <v>1951</v>
      </c>
      <c r="B11" s="6"/>
      <c r="C11" s="56">
        <f>('NYSERS Data'!C14)/1000000</f>
        <v>470.74420544999998</v>
      </c>
      <c r="D11" s="56"/>
      <c r="E11" s="56">
        <f>SUM('NYSERS Data'!E14:K14)/1000000</f>
        <v>135.9808275</v>
      </c>
      <c r="F11" s="56">
        <f>SUM('NYSERS Data'!D14)/1000000</f>
        <v>232.33904999999999</v>
      </c>
      <c r="G11" s="56">
        <f>SUM('NYSERS Data'!L14:Q14)/1000000</f>
        <v>102.42432795000001</v>
      </c>
      <c r="H11" s="3"/>
      <c r="I11" s="3"/>
      <c r="J11" s="3"/>
      <c r="K11" s="3"/>
      <c r="L11" s="3">
        <f t="shared" si="0"/>
        <v>28.886351850048037</v>
      </c>
      <c r="M11" s="3">
        <f t="shared" si="1"/>
        <v>49.355689843892904</v>
      </c>
      <c r="N11" s="3">
        <f t="shared" si="2"/>
        <v>21.757958306059059</v>
      </c>
    </row>
    <row r="12" spans="1:14" x14ac:dyDescent="0.3">
      <c r="A12">
        <v>1952</v>
      </c>
      <c r="B12" s="6"/>
      <c r="C12" s="56">
        <f>('NYSERS Data'!C15)/1000000</f>
        <v>540.29692502</v>
      </c>
      <c r="D12" s="56"/>
      <c r="E12" s="56">
        <f>SUM('NYSERS Data'!E15:K15)/1000000</f>
        <v>130.27423874999999</v>
      </c>
      <c r="F12" s="56">
        <f>SUM('NYSERS Data'!D15)/1000000</f>
        <v>274.27805000000001</v>
      </c>
      <c r="G12" s="56">
        <f>SUM('NYSERS Data'!L15:Q15)/1000000</f>
        <v>135.74463627</v>
      </c>
      <c r="H12" s="3"/>
      <c r="I12" s="3"/>
      <c r="J12" s="3"/>
      <c r="K12" s="3"/>
      <c r="L12" s="3">
        <f t="shared" si="0"/>
        <v>24.111600995170882</v>
      </c>
      <c r="M12" s="3">
        <f t="shared" si="1"/>
        <v>50.76431815521569</v>
      </c>
      <c r="N12" s="3">
        <f t="shared" si="2"/>
        <v>25.124080849613424</v>
      </c>
    </row>
    <row r="13" spans="1:14" x14ac:dyDescent="0.3">
      <c r="A13">
        <v>1953</v>
      </c>
      <c r="B13" s="6"/>
      <c r="C13" s="56">
        <f>('NYSERS Data'!C16)/1000000</f>
        <v>594.82900142999995</v>
      </c>
      <c r="D13" s="56"/>
      <c r="E13" s="56">
        <f>SUM('NYSERS Data'!E16:K16)/1000000</f>
        <v>145.13955000000001</v>
      </c>
      <c r="F13" s="56">
        <f>SUM('NYSERS Data'!D16)/1000000</f>
        <v>278.75405000000001</v>
      </c>
      <c r="G13" s="56">
        <f>SUM('NYSERS Data'!L16:Q16)/1000000</f>
        <v>170.93540143000001</v>
      </c>
      <c r="H13" s="3"/>
      <c r="I13" s="3"/>
      <c r="J13" s="3"/>
      <c r="K13" s="3"/>
      <c r="L13" s="3">
        <f t="shared" si="0"/>
        <v>24.400214120541698</v>
      </c>
      <c r="M13" s="3">
        <f t="shared" si="1"/>
        <v>46.862888213227791</v>
      </c>
      <c r="N13" s="3">
        <f t="shared" si="2"/>
        <v>28.736897666230526</v>
      </c>
    </row>
    <row r="14" spans="1:14" x14ac:dyDescent="0.3">
      <c r="A14">
        <v>1954</v>
      </c>
      <c r="B14" s="6"/>
      <c r="C14" s="56">
        <f>('NYSERS Data'!C17)/1000000</f>
        <v>683.54038304999995</v>
      </c>
      <c r="D14" s="56"/>
      <c r="E14" s="56">
        <f>SUM('NYSERS Data'!E17:K17)/1000000</f>
        <v>200.14118999999999</v>
      </c>
      <c r="F14" s="56">
        <f>SUM('NYSERS Data'!D17)/1000000</f>
        <v>278.83445</v>
      </c>
      <c r="G14" s="56">
        <f>SUM('NYSERS Data'!L17:Q17)/1000000</f>
        <v>204.56474305</v>
      </c>
      <c r="H14" s="3"/>
      <c r="I14" s="3"/>
      <c r="J14" s="3"/>
      <c r="K14" s="3"/>
      <c r="L14" s="3">
        <f t="shared" si="0"/>
        <v>29.280082781204158</v>
      </c>
      <c r="M14" s="3">
        <f t="shared" si="1"/>
        <v>40.792681297895413</v>
      </c>
      <c r="N14" s="3">
        <f t="shared" si="2"/>
        <v>29.927235920900436</v>
      </c>
    </row>
    <row r="15" spans="1:14" x14ac:dyDescent="0.3">
      <c r="A15">
        <v>1955</v>
      </c>
      <c r="B15" s="6"/>
      <c r="C15" s="56">
        <f>('NYSERS Data'!C18)/1000000</f>
        <v>774.42532796</v>
      </c>
      <c r="D15" s="56"/>
      <c r="E15" s="56">
        <f>SUM('NYSERS Data'!E18:K18)/1000000</f>
        <v>264.15427199999999</v>
      </c>
      <c r="F15" s="56">
        <f>SUM('NYSERS Data'!D18)/1000000</f>
        <v>318.00605000000002</v>
      </c>
      <c r="G15" s="56">
        <f>SUM('NYSERS Data'!L18:Q18)/1000000</f>
        <v>192.26500596</v>
      </c>
      <c r="H15" s="3"/>
      <c r="I15" s="3"/>
      <c r="J15" s="3"/>
      <c r="K15" s="3"/>
      <c r="L15" s="3">
        <f t="shared" si="0"/>
        <v>34.109714967076059</v>
      </c>
      <c r="M15" s="3">
        <f t="shared" si="1"/>
        <v>41.063487791352998</v>
      </c>
      <c r="N15" s="3">
        <f t="shared" si="2"/>
        <v>24.82679724157094</v>
      </c>
    </row>
    <row r="16" spans="1:14" x14ac:dyDescent="0.3">
      <c r="A16">
        <v>1956</v>
      </c>
      <c r="B16" s="6"/>
      <c r="C16" s="56">
        <f>('NYSERS Data'!C19)/1000000</f>
        <v>876.45204477999994</v>
      </c>
      <c r="D16" s="56"/>
      <c r="E16" s="56">
        <f>SUM('NYSERS Data'!E19:K19)/1000000</f>
        <v>285.483272</v>
      </c>
      <c r="F16" s="56">
        <f>SUM('NYSERS Data'!D19)/1000000</f>
        <v>389.67104999999998</v>
      </c>
      <c r="G16" s="56">
        <f>SUM('NYSERS Data'!L19:Q19)/1000000</f>
        <v>201.29772278000002</v>
      </c>
      <c r="H16" s="3"/>
      <c r="I16" s="3"/>
      <c r="J16" s="3"/>
      <c r="K16" s="3"/>
      <c r="L16" s="3">
        <f t="shared" si="0"/>
        <v>32.572606076999882</v>
      </c>
      <c r="M16" s="3">
        <f t="shared" si="1"/>
        <v>44.460053726934042</v>
      </c>
      <c r="N16" s="3">
        <f t="shared" si="2"/>
        <v>22.967340196066079</v>
      </c>
    </row>
    <row r="17" spans="1:14" x14ac:dyDescent="0.3">
      <c r="A17">
        <v>1957</v>
      </c>
      <c r="B17" s="6"/>
      <c r="C17" s="56">
        <f>('NYSERS Data'!C20)/1000000</f>
        <v>987.01239548000001</v>
      </c>
      <c r="D17" s="56"/>
      <c r="E17" s="56">
        <f>SUM('NYSERS Data'!E20:K20)/1000000</f>
        <v>317.35797200000002</v>
      </c>
      <c r="F17" s="56">
        <f>SUM('NYSERS Data'!D20)/1000000</f>
        <v>467.23894999999999</v>
      </c>
      <c r="G17" s="56">
        <f>SUM('NYSERS Data'!L20:Q20)/1000000</f>
        <v>202.41547348</v>
      </c>
      <c r="H17" s="3"/>
      <c r="I17" s="3"/>
      <c r="J17" s="3"/>
      <c r="K17" s="3"/>
      <c r="L17" s="3">
        <f t="shared" si="0"/>
        <v>32.153392749000254</v>
      </c>
      <c r="M17" s="3">
        <f t="shared" si="1"/>
        <v>47.33871146296741</v>
      </c>
      <c r="N17" s="3">
        <f t="shared" si="2"/>
        <v>20.507895788032336</v>
      </c>
    </row>
    <row r="18" spans="1:14" x14ac:dyDescent="0.3">
      <c r="A18">
        <v>1958</v>
      </c>
      <c r="B18" s="6"/>
      <c r="C18" s="56">
        <f>('NYSERS Data'!C21)/1000000</f>
        <v>1098.57441146</v>
      </c>
      <c r="D18" s="56"/>
      <c r="E18" s="56">
        <f>SUM('NYSERS Data'!E21:K21)/1000000</f>
        <v>354.93557199999998</v>
      </c>
      <c r="F18" s="56">
        <f>SUM('NYSERS Data'!D21)/1000000</f>
        <v>514.71394999999995</v>
      </c>
      <c r="G18" s="56">
        <f>SUM('NYSERS Data'!L21:Q21)/1000000</f>
        <v>228.92488945999997</v>
      </c>
      <c r="H18" s="3"/>
      <c r="I18" s="3"/>
      <c r="J18" s="3"/>
      <c r="K18" s="3"/>
      <c r="L18" s="3">
        <f t="shared" si="0"/>
        <v>32.308741974819199</v>
      </c>
      <c r="M18" s="3">
        <f t="shared" si="1"/>
        <v>46.852898140595471</v>
      </c>
      <c r="N18" s="3">
        <f t="shared" si="2"/>
        <v>20.838359884585326</v>
      </c>
    </row>
    <row r="19" spans="1:14" x14ac:dyDescent="0.3">
      <c r="A19">
        <v>1959</v>
      </c>
      <c r="B19" s="6"/>
      <c r="C19" s="56">
        <f>('NYSERS Data'!C22)/1000000</f>
        <v>1233.9359294000001</v>
      </c>
      <c r="D19" s="56"/>
      <c r="E19" s="56">
        <f>SUM('NYSERS Data'!E22:K22)/1000000</f>
        <v>349.873672</v>
      </c>
      <c r="F19" s="56">
        <f>SUM('NYSERS Data'!D22)/1000000</f>
        <v>548.40395000000001</v>
      </c>
      <c r="G19" s="56">
        <f>SUM('NYSERS Data'!L22:Q22)/1000000</f>
        <v>335.65830739999996</v>
      </c>
      <c r="H19" s="3"/>
      <c r="I19" s="3"/>
      <c r="J19" s="3"/>
      <c r="K19" s="3"/>
      <c r="L19" s="3">
        <f t="shared" si="0"/>
        <v>28.354281909120328</v>
      </c>
      <c r="M19" s="3">
        <f t="shared" si="1"/>
        <v>44.443470437453001</v>
      </c>
      <c r="N19" s="3">
        <f t="shared" si="2"/>
        <v>27.20224765342666</v>
      </c>
    </row>
    <row r="20" spans="1:14" x14ac:dyDescent="0.3">
      <c r="A20">
        <v>1960</v>
      </c>
      <c r="B20" s="6"/>
      <c r="C20" s="56">
        <f>('NYSERS Data'!C23)/1000000</f>
        <v>1385.5857549699999</v>
      </c>
      <c r="D20" s="56"/>
      <c r="E20" s="56">
        <f>SUM('NYSERS Data'!E23:K23)/1000000</f>
        <v>330.70377200000001</v>
      </c>
      <c r="F20" s="56">
        <f>SUM('NYSERS Data'!D23)/1000000</f>
        <v>580.59389999999996</v>
      </c>
      <c r="G20" s="56">
        <f>SUM('NYSERS Data'!L23:Q23)/1000000</f>
        <v>474.28808297</v>
      </c>
      <c r="H20" s="3"/>
      <c r="I20" s="3"/>
      <c r="J20" s="3"/>
      <c r="K20" s="3"/>
      <c r="L20" s="3">
        <f t="shared" si="0"/>
        <v>23.867434463279412</v>
      </c>
      <c r="M20" s="3">
        <f t="shared" si="1"/>
        <v>41.902415488716592</v>
      </c>
      <c r="N20" s="3">
        <f t="shared" si="2"/>
        <v>34.230150048003999</v>
      </c>
    </row>
    <row r="21" spans="1:14" x14ac:dyDescent="0.3">
      <c r="A21">
        <v>1961</v>
      </c>
      <c r="B21" s="6"/>
      <c r="C21" s="56">
        <f>('NYSERS Data'!C24)/1000000</f>
        <v>1514.4665014300001</v>
      </c>
      <c r="D21" s="56"/>
      <c r="E21" s="56">
        <f>SUM('NYSERS Data'!E24:K24)/1000000</f>
        <v>318.47437200000002</v>
      </c>
      <c r="F21" s="56">
        <f>SUM('NYSERS Data'!D24)/1000000</f>
        <v>535.11429999999996</v>
      </c>
      <c r="G21" s="56">
        <f>SUM('NYSERS Data'!L24:Q24)/1000000</f>
        <v>660.87782942999991</v>
      </c>
      <c r="H21" s="3"/>
      <c r="I21" s="3"/>
      <c r="J21" s="3"/>
      <c r="K21" s="3"/>
      <c r="L21" s="3">
        <f t="shared" si="0"/>
        <v>21.028815870096032</v>
      </c>
      <c r="M21" s="3">
        <f t="shared" si="1"/>
        <v>35.333518403657699</v>
      </c>
      <c r="N21" s="3">
        <f t="shared" si="2"/>
        <v>43.637665726246254</v>
      </c>
    </row>
    <row r="22" spans="1:14" x14ac:dyDescent="0.3">
      <c r="A22">
        <v>1962</v>
      </c>
      <c r="B22" s="6"/>
      <c r="C22" s="56">
        <f>('NYSERS Data'!C25)/1000000</f>
        <v>1653.3423354500001</v>
      </c>
      <c r="D22" s="56"/>
      <c r="E22" s="56">
        <f>SUM('NYSERS Data'!E25:K25)/1000000</f>
        <v>305.68747200000001</v>
      </c>
      <c r="F22" s="56">
        <f>SUM('NYSERS Data'!D25)/1000000</f>
        <v>527.21105</v>
      </c>
      <c r="G22" s="56">
        <f>SUM('NYSERS Data'!L25:Q25)/1000000</f>
        <v>820.44381344999999</v>
      </c>
      <c r="H22" s="3"/>
      <c r="I22" s="3"/>
      <c r="J22" s="3"/>
      <c r="K22" s="3"/>
      <c r="L22" s="3">
        <f t="shared" si="0"/>
        <v>18.489060943134881</v>
      </c>
      <c r="M22" s="3">
        <f t="shared" si="1"/>
        <v>31.887591498496636</v>
      </c>
      <c r="N22" s="3">
        <f t="shared" si="2"/>
        <v>49.623347558368479</v>
      </c>
    </row>
    <row r="23" spans="1:14" x14ac:dyDescent="0.3">
      <c r="A23">
        <v>1963</v>
      </c>
      <c r="B23" s="6"/>
      <c r="C23" s="56">
        <f>('NYSERS Data'!C26)/1000000</f>
        <v>1819.7111013599999</v>
      </c>
      <c r="D23" s="56"/>
      <c r="E23" s="56">
        <f>SUM('NYSERS Data'!E26:K26)/1000000</f>
        <v>240.897572</v>
      </c>
      <c r="F23" s="56">
        <f>SUM('NYSERS Data'!D26)/1000000</f>
        <v>611.18034999999998</v>
      </c>
      <c r="G23" s="56">
        <f>SUM('NYSERS Data'!L26:Q26)/1000000</f>
        <v>967.63317935999999</v>
      </c>
      <c r="H23" s="3"/>
      <c r="I23" s="3"/>
      <c r="J23" s="3"/>
      <c r="K23" s="3"/>
      <c r="L23" s="3">
        <f t="shared" si="0"/>
        <v>13.238231707217704</v>
      </c>
      <c r="M23" s="3">
        <f t="shared" si="1"/>
        <v>33.586669309387702</v>
      </c>
      <c r="N23" s="3">
        <f t="shared" si="2"/>
        <v>53.175098983394598</v>
      </c>
    </row>
    <row r="24" spans="1:14" x14ac:dyDescent="0.3">
      <c r="A24">
        <v>1964</v>
      </c>
      <c r="B24" s="6"/>
      <c r="C24" s="56">
        <f>('NYSERS Data'!C27)/1000000</f>
        <v>2011.4433882400001</v>
      </c>
      <c r="D24" s="56"/>
      <c r="E24" s="56">
        <f>SUM('NYSERS Data'!E27:K27)/1000000</f>
        <v>160.29517200000001</v>
      </c>
      <c r="F24" s="56">
        <f>SUM('NYSERS Data'!D27)/1000000</f>
        <v>723.41084999999998</v>
      </c>
      <c r="G24" s="56">
        <f>SUM('NYSERS Data'!L27:Q27)/1000000</f>
        <v>1127.73736624</v>
      </c>
      <c r="H24" s="3"/>
      <c r="I24" s="3"/>
      <c r="J24" s="3"/>
      <c r="K24" s="3"/>
      <c r="L24" s="3">
        <f t="shared" si="0"/>
        <v>7.969161495529697</v>
      </c>
      <c r="M24" s="3">
        <f t="shared" si="1"/>
        <v>35.964763126293093</v>
      </c>
      <c r="N24" s="3">
        <f t="shared" si="2"/>
        <v>56.066075378177203</v>
      </c>
    </row>
    <row r="25" spans="1:14" x14ac:dyDescent="0.3">
      <c r="A25">
        <v>1965</v>
      </c>
      <c r="B25" s="6"/>
      <c r="C25" s="56">
        <f>('NYSERS Data'!C28)/1000000</f>
        <v>2218.883394</v>
      </c>
      <c r="D25" s="56"/>
      <c r="E25" s="56">
        <f>SUM('NYSERS Data'!E28:K28)/1000000</f>
        <v>64.009022000000002</v>
      </c>
      <c r="F25" s="56">
        <f>SUM('NYSERS Data'!D28)/1000000</f>
        <v>856.10985000000005</v>
      </c>
      <c r="G25" s="56">
        <f>SUM('NYSERS Data'!L28:Q28)/1000000</f>
        <v>1298.7645219999999</v>
      </c>
      <c r="H25" s="3"/>
      <c r="I25" s="3"/>
      <c r="J25" s="3"/>
      <c r="K25" s="3"/>
      <c r="L25" s="3">
        <f t="shared" si="0"/>
        <v>2.8847402334473462</v>
      </c>
      <c r="M25" s="3">
        <f t="shared" si="1"/>
        <v>38.582913023504297</v>
      </c>
      <c r="N25" s="3">
        <f t="shared" si="2"/>
        <v>58.532346743048357</v>
      </c>
    </row>
    <row r="26" spans="1:14" x14ac:dyDescent="0.3">
      <c r="A26">
        <v>1966</v>
      </c>
      <c r="B26" s="6"/>
      <c r="C26" s="56">
        <f>('NYSERS Data'!C29)/1000000</f>
        <v>2430.3364350000002</v>
      </c>
      <c r="D26" s="56"/>
      <c r="E26" s="56">
        <f>SUM('NYSERS Data'!E29:K29)/1000000</f>
        <v>41.873522000000001</v>
      </c>
      <c r="F26" s="56">
        <f>SUM('NYSERS Data'!D29)/1000000</f>
        <v>830.82799999999997</v>
      </c>
      <c r="G26" s="56">
        <f>SUM('NYSERS Data'!L29:Q29)/1000000</f>
        <v>1557.6349130000001</v>
      </c>
      <c r="H26" s="3"/>
      <c r="I26" s="3"/>
      <c r="J26" s="3"/>
      <c r="K26" s="3"/>
      <c r="L26" s="3">
        <f t="shared" si="0"/>
        <v>1.722951662040157</v>
      </c>
      <c r="M26" s="3">
        <f t="shared" si="1"/>
        <v>34.185719640910534</v>
      </c>
      <c r="N26" s="3">
        <f t="shared" si="2"/>
        <v>64.091328697049306</v>
      </c>
    </row>
    <row r="27" spans="1:14" s="58" customFormat="1" x14ac:dyDescent="0.3">
      <c r="A27" s="58">
        <v>1967</v>
      </c>
      <c r="B27" s="56"/>
      <c r="C27" s="56">
        <f>('NYSERS Data'!C32)/1000000</f>
        <v>2682.6970820000001</v>
      </c>
      <c r="D27" s="56"/>
      <c r="E27" s="56">
        <f>SUM('NYSERS Data'!J32:L32)/1000000</f>
        <v>41.400022</v>
      </c>
      <c r="F27" s="56">
        <f>SUM('NYSERS Data'!D32)/1000000</f>
        <v>631.77300000000002</v>
      </c>
      <c r="G27" s="56">
        <f>SUM('NYSERS Data'!E32:I32)/1000000</f>
        <v>2009.52406</v>
      </c>
      <c r="H27" s="59"/>
      <c r="I27" s="59"/>
      <c r="J27" s="59"/>
      <c r="K27" s="59"/>
      <c r="L27" s="59">
        <f t="shared" si="0"/>
        <v>1.5432238800936675</v>
      </c>
      <c r="M27" s="59">
        <f t="shared" si="1"/>
        <v>23.54991937923165</v>
      </c>
      <c r="N27" s="59">
        <f t="shared" si="2"/>
        <v>74.906856740674669</v>
      </c>
    </row>
    <row r="28" spans="1:14" x14ac:dyDescent="0.3">
      <c r="A28">
        <v>1968</v>
      </c>
      <c r="B28" s="6"/>
      <c r="C28" s="56">
        <f>('NYSERS Data'!C33)/1000000</f>
        <v>2969.9137529999998</v>
      </c>
      <c r="D28" s="56"/>
      <c r="E28" s="56">
        <f>SUM('NYSERS Data'!J33:L33)/1000000</f>
        <v>40.533521999999998</v>
      </c>
      <c r="F28" s="56">
        <f>SUM('NYSERS Data'!D33)/1000000</f>
        <v>604.64</v>
      </c>
      <c r="G28" s="56">
        <f>SUM('NYSERS Data'!E33:I33)/1000000</f>
        <v>2324.7402310000002</v>
      </c>
      <c r="H28" s="3"/>
      <c r="I28" s="3"/>
      <c r="J28" s="3"/>
      <c r="K28" s="3"/>
      <c r="L28" s="3">
        <f t="shared" si="0"/>
        <v>1.364804683605908</v>
      </c>
      <c r="M28" s="3">
        <f t="shared" si="1"/>
        <v>20.358840366634716</v>
      </c>
      <c r="N28" s="3">
        <f t="shared" si="2"/>
        <v>78.27635494975938</v>
      </c>
    </row>
    <row r="29" spans="1:14" x14ac:dyDescent="0.3">
      <c r="A29">
        <v>1969</v>
      </c>
      <c r="B29" s="6"/>
      <c r="C29" s="56">
        <f>('NYSERS Data'!C34)/1000000</f>
        <v>3276.938087</v>
      </c>
      <c r="D29" s="56"/>
      <c r="E29" s="56">
        <f>SUM('NYSERS Data'!J34:L34)/1000000</f>
        <v>40.135522000000002</v>
      </c>
      <c r="F29" s="56">
        <f>SUM('NYSERS Data'!D34)/1000000</f>
        <v>761.46900000000005</v>
      </c>
      <c r="G29" s="56">
        <f>SUM('NYSERS Data'!E34:I34)/1000000</f>
        <v>2475.3335649999999</v>
      </c>
      <c r="H29" s="3"/>
      <c r="I29" s="3"/>
      <c r="J29" s="3"/>
      <c r="K29" s="3"/>
      <c r="L29" s="3">
        <f t="shared" si="0"/>
        <v>1.2247873146954575</v>
      </c>
      <c r="M29" s="3">
        <f t="shared" si="1"/>
        <v>23.237210462438622</v>
      </c>
      <c r="N29" s="3">
        <f t="shared" si="2"/>
        <v>75.538002222865913</v>
      </c>
    </row>
    <row r="30" spans="1:14" x14ac:dyDescent="0.3">
      <c r="A30">
        <v>1970</v>
      </c>
      <c r="B30" s="6"/>
      <c r="C30" s="56">
        <f>('NYSERS Data'!C35)/1000000</f>
        <v>3606.467083</v>
      </c>
      <c r="D30" s="56"/>
      <c r="E30" s="56">
        <f>SUM('NYSERS Data'!J35:L35)/1000000</f>
        <v>39.746521999999999</v>
      </c>
      <c r="F30" s="56">
        <f>SUM('NYSERS Data'!D35)/1000000</f>
        <v>508.26799999999997</v>
      </c>
      <c r="G30" s="56">
        <f>SUM('NYSERS Data'!E35:I35)/1000000</f>
        <v>3058.4525610000001</v>
      </c>
      <c r="H30" s="3"/>
      <c r="I30" s="3"/>
      <c r="J30" s="3"/>
      <c r="K30" s="3"/>
      <c r="L30" s="3">
        <f t="shared" si="0"/>
        <v>1.1020902474711425</v>
      </c>
      <c r="M30" s="3">
        <f t="shared" si="1"/>
        <v>14.093238293948405</v>
      </c>
      <c r="N30" s="3">
        <f t="shared" si="2"/>
        <v>84.804671458580444</v>
      </c>
    </row>
    <row r="31" spans="1:14" x14ac:dyDescent="0.3">
      <c r="A31">
        <v>1971</v>
      </c>
      <c r="B31" s="6"/>
      <c r="C31" s="56">
        <f>('NYSERS Data'!C36)/1000000</f>
        <v>3960.6297199999999</v>
      </c>
      <c r="D31" s="56"/>
      <c r="E31" s="56">
        <f>SUM('NYSERS Data'!J36:L36)/1000000</f>
        <v>39.288522</v>
      </c>
      <c r="F31" s="56">
        <f>SUM('NYSERS Data'!D36)/1000000</f>
        <v>730.37746700000002</v>
      </c>
      <c r="G31" s="56">
        <f>SUM('NYSERS Data'!E36:I36)/1000000</f>
        <v>3190.9637309999998</v>
      </c>
      <c r="H31" s="3"/>
      <c r="I31" s="3"/>
      <c r="J31" s="3"/>
      <c r="K31" s="3"/>
      <c r="L31" s="3">
        <f t="shared" si="0"/>
        <v>0.99197664961217336</v>
      </c>
      <c r="M31" s="3">
        <f t="shared" si="1"/>
        <v>18.440942946820087</v>
      </c>
      <c r="N31" s="3">
        <f t="shared" si="2"/>
        <v>80.567080403567743</v>
      </c>
    </row>
    <row r="32" spans="1:14" x14ac:dyDescent="0.3">
      <c r="A32">
        <v>1972</v>
      </c>
      <c r="B32" s="6"/>
      <c r="C32" s="56">
        <f>('NYSERS Data'!C37)/1000000</f>
        <v>4450.3708569999999</v>
      </c>
      <c r="D32" s="56"/>
      <c r="E32" s="56">
        <f>SUM('NYSERS Data'!J37:L37)/1000000</f>
        <v>38.748522000000001</v>
      </c>
      <c r="F32" s="56">
        <f>SUM('NYSERS Data'!D37)/1000000</f>
        <v>760.269811</v>
      </c>
      <c r="G32" s="56">
        <f>SUM('NYSERS Data'!E37:I37)/1000000</f>
        <v>3651.3525239999999</v>
      </c>
      <c r="H32" s="3"/>
      <c r="I32" s="3"/>
      <c r="J32" s="3"/>
      <c r="K32" s="3"/>
      <c r="L32" s="3">
        <f t="shared" si="0"/>
        <v>0.87068074201169887</v>
      </c>
      <c r="M32" s="3">
        <f t="shared" si="1"/>
        <v>17.083291155481341</v>
      </c>
      <c r="N32" s="3">
        <f t="shared" si="2"/>
        <v>82.046028102506966</v>
      </c>
    </row>
    <row r="33" spans="1:14" s="58" customFormat="1" x14ac:dyDescent="0.3">
      <c r="A33" s="58">
        <v>1973</v>
      </c>
      <c r="B33" s="56"/>
      <c r="C33" s="56">
        <f>('NYSERS Data'!C40)/1000000</f>
        <v>5000.2459820000004</v>
      </c>
      <c r="D33" s="56"/>
      <c r="E33" s="56">
        <f>SUM('NYSERS Data'!J40:L40)/1000000</f>
        <v>38.465522</v>
      </c>
      <c r="F33" s="56">
        <f>SUM('NYSERS Data'!D40:E40)/1000000</f>
        <v>850.35953800000004</v>
      </c>
      <c r="G33" s="56">
        <f>SUM('NYSERS Data'!F40:I40)/1000000</f>
        <v>4111.4209220000002</v>
      </c>
      <c r="H33" s="59"/>
      <c r="I33" s="59"/>
      <c r="J33" s="59"/>
      <c r="K33" s="59"/>
      <c r="L33" s="59">
        <f t="shared" si="0"/>
        <v>0.76927259455772901</v>
      </c>
      <c r="M33" s="59">
        <f t="shared" si="1"/>
        <v>17.006354108600732</v>
      </c>
      <c r="N33" s="59">
        <f t="shared" si="2"/>
        <v>82.224373296841534</v>
      </c>
    </row>
    <row r="34" spans="1:14" x14ac:dyDescent="0.3">
      <c r="A34">
        <v>1974</v>
      </c>
      <c r="B34" s="56"/>
      <c r="C34" s="56">
        <f>('NYSERS Data'!C41)/1000000</f>
        <v>5560.2389640000001</v>
      </c>
      <c r="D34" s="56"/>
      <c r="E34" s="56">
        <f>SUM('NYSERS Data'!J41:L41)/1000000</f>
        <v>37.835521999999997</v>
      </c>
      <c r="F34" s="56">
        <f>SUM('NYSERS Data'!D41:E41)/1000000</f>
        <v>557.82918500000005</v>
      </c>
      <c r="G34" s="56">
        <f>SUM('NYSERS Data'!F41:I41)/1000000</f>
        <v>4964.5742570000002</v>
      </c>
      <c r="H34" s="3"/>
      <c r="I34" s="3"/>
      <c r="J34" s="3"/>
      <c r="K34" s="3"/>
      <c r="L34" s="3">
        <f t="shared" si="0"/>
        <v>0.68046575416933819</v>
      </c>
      <c r="M34" s="3">
        <f t="shared" si="1"/>
        <v>10.032467823985417</v>
      </c>
      <c r="N34" s="3">
        <f t="shared" si="2"/>
        <v>89.287066421845253</v>
      </c>
    </row>
  </sheetData>
  <mergeCells count="1">
    <mergeCell ref="C3:G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840672-905B-41C0-B8D9-F310F20D274A}">
  <dimension ref="A1:AR28"/>
  <sheetViews>
    <sheetView topLeftCell="P1" zoomScale="70" zoomScaleNormal="70" workbookViewId="0">
      <selection activeCell="AL33" sqref="AL33"/>
    </sheetView>
  </sheetViews>
  <sheetFormatPr defaultRowHeight="14.4" x14ac:dyDescent="0.3"/>
  <cols>
    <col min="1" max="1" width="11.88671875" customWidth="1"/>
    <col min="9" max="9" width="10.44140625" customWidth="1"/>
    <col min="10" max="10" width="12" hidden="1" customWidth="1"/>
    <col min="11" max="11" width="8.5546875" hidden="1" customWidth="1"/>
    <col min="12" max="15" width="8.88671875" hidden="1" customWidth="1"/>
    <col min="16" max="16" width="6.44140625" customWidth="1"/>
    <col min="17" max="17" width="4.88671875" hidden="1" customWidth="1"/>
    <col min="18" max="19" width="8.88671875" hidden="1" customWidth="1"/>
    <col min="20" max="20" width="15.21875" customWidth="1"/>
    <col min="21" max="21" width="11" customWidth="1"/>
    <col min="24" max="24" width="14.88671875" customWidth="1"/>
    <col min="25" max="25" width="12.88671875" customWidth="1"/>
    <col min="26" max="26" width="11.44140625" customWidth="1"/>
    <col min="27" max="27" width="10.77734375" customWidth="1"/>
    <col min="28" max="28" width="11.44140625" customWidth="1"/>
    <col min="29" max="29" width="12.109375" customWidth="1"/>
    <col min="30" max="30" width="13.77734375" customWidth="1"/>
    <col min="31" max="31" width="13.6640625" customWidth="1"/>
    <col min="32" max="32" width="13.33203125" customWidth="1"/>
    <col min="33" max="33" width="14" customWidth="1"/>
    <col min="34" max="34" width="12.6640625" customWidth="1"/>
    <col min="35" max="35" width="12.109375" customWidth="1"/>
    <col min="36" max="36" width="13.88671875" customWidth="1"/>
    <col min="38" max="38" width="13.21875" customWidth="1"/>
    <col min="41" max="41" width="12.109375" customWidth="1"/>
  </cols>
  <sheetData>
    <row r="1" spans="1:44" x14ac:dyDescent="0.3">
      <c r="A1" s="53" t="s">
        <v>56</v>
      </c>
      <c r="B1" s="53"/>
      <c r="C1" s="53"/>
      <c r="D1" s="53"/>
      <c r="E1" s="53"/>
      <c r="F1" s="53"/>
      <c r="G1" s="53"/>
      <c r="H1" s="54"/>
      <c r="I1" s="48" t="s">
        <v>57</v>
      </c>
      <c r="J1" s="49"/>
      <c r="K1" s="49"/>
      <c r="L1" s="49"/>
      <c r="M1" s="49"/>
      <c r="N1" s="49"/>
      <c r="O1" s="50"/>
      <c r="P1" s="48" t="s">
        <v>58</v>
      </c>
      <c r="Q1" s="49"/>
      <c r="R1" s="49"/>
      <c r="S1" s="50"/>
      <c r="T1" s="48" t="s">
        <v>59</v>
      </c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15"/>
      <c r="AL1" s="15"/>
      <c r="AM1" s="15"/>
      <c r="AN1" s="15"/>
      <c r="AO1" s="15"/>
      <c r="AP1" s="15"/>
      <c r="AQ1" s="15"/>
      <c r="AR1" s="16"/>
    </row>
    <row r="2" spans="1:44" x14ac:dyDescent="0.3">
      <c r="A2" s="53" t="s">
        <v>60</v>
      </c>
      <c r="B2" s="53"/>
      <c r="C2" s="53"/>
      <c r="D2" s="53"/>
      <c r="E2" s="53"/>
      <c r="F2" s="53"/>
      <c r="G2" s="53"/>
      <c r="H2" s="54"/>
      <c r="I2" s="13"/>
      <c r="J2" s="13"/>
      <c r="K2" s="13"/>
      <c r="L2" s="13"/>
      <c r="M2" s="17"/>
      <c r="N2" s="17"/>
      <c r="O2" s="14"/>
      <c r="P2" s="18"/>
      <c r="Q2" s="13"/>
      <c r="R2" s="13"/>
      <c r="S2" s="14"/>
      <c r="T2" s="19"/>
      <c r="U2" s="51" t="s">
        <v>61</v>
      </c>
      <c r="V2" s="42"/>
      <c r="W2" s="52"/>
      <c r="X2" s="48" t="s">
        <v>62</v>
      </c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50"/>
      <c r="AP2" s="48" t="s">
        <v>63</v>
      </c>
      <c r="AQ2" s="49"/>
      <c r="AR2" s="50"/>
    </row>
    <row r="3" spans="1:44" x14ac:dyDescent="0.3">
      <c r="A3" s="46" t="s">
        <v>64</v>
      </c>
      <c r="B3" s="46"/>
      <c r="C3" s="46"/>
      <c r="D3" s="46"/>
      <c r="E3" s="46"/>
      <c r="F3" s="46"/>
      <c r="G3" s="46"/>
      <c r="H3" s="47"/>
      <c r="I3" s="19"/>
      <c r="J3" s="19"/>
      <c r="P3" s="20"/>
      <c r="Q3" s="19"/>
      <c r="R3" s="19"/>
      <c r="S3" s="21"/>
      <c r="T3" s="19"/>
      <c r="U3" s="22"/>
      <c r="V3" s="23"/>
      <c r="W3" s="24"/>
      <c r="X3" s="25"/>
      <c r="Y3" s="45" t="s">
        <v>65</v>
      </c>
      <c r="Z3" s="43"/>
      <c r="AA3" s="43"/>
      <c r="AB3" s="43"/>
      <c r="AC3" s="43"/>
      <c r="AD3" s="43"/>
      <c r="AE3" s="44"/>
      <c r="AF3" s="45" t="s">
        <v>66</v>
      </c>
      <c r="AG3" s="43"/>
      <c r="AH3" s="43"/>
      <c r="AI3" s="43"/>
      <c r="AJ3" s="43"/>
      <c r="AK3" s="43"/>
      <c r="AL3" s="43"/>
      <c r="AM3" s="43"/>
      <c r="AN3" s="43"/>
      <c r="AO3" s="44"/>
      <c r="AP3" s="22"/>
      <c r="AQ3" s="23"/>
      <c r="AR3" s="24"/>
    </row>
    <row r="4" spans="1:44" x14ac:dyDescent="0.3">
      <c r="A4" s="46"/>
      <c r="B4" s="46"/>
      <c r="C4" s="46"/>
      <c r="D4" s="46"/>
      <c r="E4" s="46"/>
      <c r="F4" s="46"/>
      <c r="G4" s="46"/>
      <c r="H4" s="47"/>
      <c r="I4" s="19"/>
      <c r="J4" s="19"/>
      <c r="P4" s="20"/>
      <c r="Q4" s="19"/>
      <c r="R4" s="19"/>
      <c r="S4" s="21"/>
      <c r="T4" s="19" t="s">
        <v>9</v>
      </c>
      <c r="U4" s="20"/>
      <c r="V4" s="19"/>
      <c r="W4" s="21"/>
      <c r="X4" s="26"/>
      <c r="Y4" s="20"/>
      <c r="Z4" s="45" t="s">
        <v>67</v>
      </c>
      <c r="AA4" s="43"/>
      <c r="AB4" s="44"/>
      <c r="AC4" s="51" t="s">
        <v>68</v>
      </c>
      <c r="AD4" s="42"/>
      <c r="AE4" s="52"/>
      <c r="AF4" s="22"/>
      <c r="AG4" s="15"/>
      <c r="AH4" s="15"/>
      <c r="AI4" s="15"/>
      <c r="AJ4" s="15"/>
      <c r="AK4" s="15"/>
      <c r="AL4" s="15"/>
      <c r="AM4" s="15"/>
      <c r="AN4" s="15"/>
      <c r="AO4" s="16"/>
      <c r="AP4" s="20"/>
      <c r="AQ4" s="19"/>
      <c r="AR4" s="21"/>
    </row>
    <row r="5" spans="1:44" x14ac:dyDescent="0.3">
      <c r="A5" s="40" t="s">
        <v>69</v>
      </c>
      <c r="B5" s="40"/>
      <c r="C5" s="40"/>
      <c r="D5" s="40"/>
      <c r="E5" s="40"/>
      <c r="F5" s="40"/>
      <c r="G5" s="40"/>
      <c r="H5" s="41"/>
      <c r="I5" s="26"/>
      <c r="J5" s="19"/>
      <c r="K5" s="42" t="s">
        <v>70</v>
      </c>
      <c r="L5" s="42"/>
      <c r="M5" s="42"/>
      <c r="N5" s="42"/>
      <c r="O5" s="21"/>
      <c r="P5" s="20"/>
      <c r="Q5" s="19"/>
      <c r="R5" s="19"/>
      <c r="S5" s="21" t="s">
        <v>71</v>
      </c>
      <c r="T5" s="19" t="s">
        <v>72</v>
      </c>
      <c r="U5" s="20"/>
      <c r="V5" s="19" t="s">
        <v>73</v>
      </c>
      <c r="W5" s="21"/>
      <c r="X5" s="19"/>
      <c r="Y5" s="20" t="s">
        <v>9</v>
      </c>
      <c r="Z5" s="20"/>
      <c r="AA5" s="19"/>
      <c r="AB5" s="21"/>
      <c r="AC5" s="19"/>
      <c r="AD5" s="19"/>
      <c r="AE5" s="21"/>
      <c r="AF5" s="27" t="s">
        <v>9</v>
      </c>
      <c r="AG5" s="43" t="s">
        <v>74</v>
      </c>
      <c r="AH5" s="43"/>
      <c r="AI5" s="44"/>
      <c r="AJ5" s="45" t="s">
        <v>75</v>
      </c>
      <c r="AK5" s="43"/>
      <c r="AL5" s="43"/>
      <c r="AM5" s="43"/>
      <c r="AN5" s="43"/>
      <c r="AO5" s="44"/>
      <c r="AP5" s="20"/>
      <c r="AQ5" s="19"/>
      <c r="AR5" s="21"/>
    </row>
    <row r="6" spans="1:44" x14ac:dyDescent="0.3">
      <c r="A6" s="46" t="s">
        <v>76</v>
      </c>
      <c r="B6" s="46"/>
      <c r="C6" s="46"/>
      <c r="D6" s="46"/>
      <c r="E6" s="46"/>
      <c r="F6" s="46"/>
      <c r="G6" s="46"/>
      <c r="H6" s="47"/>
      <c r="I6" s="26"/>
      <c r="J6" s="19"/>
      <c r="K6" s="23"/>
      <c r="L6" s="19" t="s">
        <v>77</v>
      </c>
      <c r="M6" s="19" t="s">
        <v>77</v>
      </c>
      <c r="N6" s="19" t="s">
        <v>77</v>
      </c>
      <c r="O6" s="21" t="s">
        <v>78</v>
      </c>
      <c r="P6" s="20"/>
      <c r="Q6" s="19"/>
      <c r="R6" s="19"/>
      <c r="S6" s="21" t="s">
        <v>79</v>
      </c>
      <c r="T6" s="19" t="s">
        <v>80</v>
      </c>
      <c r="U6" s="20"/>
      <c r="V6" s="19" t="s">
        <v>81</v>
      </c>
      <c r="W6" s="21" t="s">
        <v>82</v>
      </c>
      <c r="X6" s="19"/>
      <c r="Y6" s="20" t="s">
        <v>83</v>
      </c>
      <c r="Z6" s="20"/>
      <c r="AA6" s="19"/>
      <c r="AB6" s="21"/>
      <c r="AC6" s="19"/>
      <c r="AD6" s="19"/>
      <c r="AE6" s="21"/>
      <c r="AF6" s="28" t="s">
        <v>84</v>
      </c>
      <c r="AG6" s="19"/>
      <c r="AH6" s="19"/>
      <c r="AI6" s="19"/>
      <c r="AJ6" s="20"/>
      <c r="AK6" s="19"/>
      <c r="AL6" s="19"/>
      <c r="AM6" s="19"/>
      <c r="AN6" s="19"/>
      <c r="AO6" s="21"/>
      <c r="AP6" s="20"/>
      <c r="AQ6" s="19"/>
      <c r="AR6" s="21"/>
    </row>
    <row r="7" spans="1:44" x14ac:dyDescent="0.3">
      <c r="A7" s="23"/>
      <c r="B7" s="23"/>
      <c r="C7" s="23" t="s">
        <v>85</v>
      </c>
      <c r="D7" s="43" t="s">
        <v>86</v>
      </c>
      <c r="E7" s="43"/>
      <c r="F7" s="23" t="s">
        <v>87</v>
      </c>
      <c r="G7" s="23"/>
      <c r="H7" s="24" t="s">
        <v>88</v>
      </c>
      <c r="I7" s="26"/>
      <c r="J7" s="19" t="s">
        <v>89</v>
      </c>
      <c r="K7" s="19"/>
      <c r="L7" s="19" t="s">
        <v>90</v>
      </c>
      <c r="M7" s="19" t="s">
        <v>91</v>
      </c>
      <c r="N7" s="19" t="s">
        <v>92</v>
      </c>
      <c r="O7" s="21" t="s">
        <v>93</v>
      </c>
      <c r="P7" s="20"/>
      <c r="Q7" s="19"/>
      <c r="R7" s="19"/>
      <c r="S7" s="21" t="s">
        <v>94</v>
      </c>
      <c r="T7" s="19" t="s">
        <v>81</v>
      </c>
      <c r="U7" s="20"/>
      <c r="V7" s="19" t="s">
        <v>95</v>
      </c>
      <c r="W7" s="21" t="s">
        <v>96</v>
      </c>
      <c r="X7" s="19" t="s">
        <v>9</v>
      </c>
      <c r="Y7" s="20" t="s">
        <v>97</v>
      </c>
      <c r="Z7" s="20"/>
      <c r="AA7" s="19" t="s">
        <v>98</v>
      </c>
      <c r="AB7" s="21" t="s">
        <v>90</v>
      </c>
      <c r="AC7" s="19"/>
      <c r="AD7" s="19" t="s">
        <v>99</v>
      </c>
      <c r="AE7" s="21"/>
      <c r="AF7" s="28" t="s">
        <v>100</v>
      </c>
      <c r="AG7" s="19"/>
      <c r="AH7" s="19" t="s">
        <v>47</v>
      </c>
      <c r="AI7" s="19" t="s">
        <v>47</v>
      </c>
      <c r="AJ7" s="20"/>
      <c r="AK7" s="19" t="s">
        <v>101</v>
      </c>
      <c r="AL7" s="26"/>
      <c r="AM7" s="19" t="s">
        <v>102</v>
      </c>
      <c r="AN7" s="19" t="s">
        <v>103</v>
      </c>
      <c r="AO7" s="21" t="s">
        <v>104</v>
      </c>
      <c r="AP7" s="20"/>
      <c r="AQ7" s="19" t="s">
        <v>105</v>
      </c>
      <c r="AR7" s="21" t="s">
        <v>106</v>
      </c>
    </row>
    <row r="8" spans="1:44" ht="15" thickBot="1" x14ac:dyDescent="0.35">
      <c r="A8" s="29" t="s">
        <v>107</v>
      </c>
      <c r="B8" s="29" t="s">
        <v>108</v>
      </c>
      <c r="C8" s="29" t="s">
        <v>109</v>
      </c>
      <c r="D8" s="29" t="s">
        <v>85</v>
      </c>
      <c r="E8" s="29" t="s">
        <v>110</v>
      </c>
      <c r="F8" s="29" t="s">
        <v>111</v>
      </c>
      <c r="G8" s="29" t="s">
        <v>112</v>
      </c>
      <c r="H8" s="30" t="s">
        <v>113</v>
      </c>
      <c r="I8" s="29" t="s">
        <v>9</v>
      </c>
      <c r="J8" s="29" t="s">
        <v>114</v>
      </c>
      <c r="K8" s="29" t="s">
        <v>9</v>
      </c>
      <c r="L8" s="29" t="s">
        <v>115</v>
      </c>
      <c r="M8" s="29" t="s">
        <v>116</v>
      </c>
      <c r="N8" s="29" t="s">
        <v>116</v>
      </c>
      <c r="O8" s="30" t="s">
        <v>117</v>
      </c>
      <c r="P8" s="31" t="s">
        <v>9</v>
      </c>
      <c r="Q8" s="29" t="s">
        <v>118</v>
      </c>
      <c r="R8" s="29" t="s">
        <v>119</v>
      </c>
      <c r="S8" s="30" t="s">
        <v>120</v>
      </c>
      <c r="T8" s="29" t="s">
        <v>117</v>
      </c>
      <c r="U8" s="31" t="s">
        <v>9</v>
      </c>
      <c r="V8" s="29" t="s">
        <v>121</v>
      </c>
      <c r="W8" s="30" t="s">
        <v>121</v>
      </c>
      <c r="X8" s="29" t="s">
        <v>62</v>
      </c>
      <c r="Y8" s="31" t="s">
        <v>62</v>
      </c>
      <c r="Z8" s="31" t="s">
        <v>9</v>
      </c>
      <c r="AA8" s="29" t="s">
        <v>122</v>
      </c>
      <c r="AB8" s="30" t="s">
        <v>123</v>
      </c>
      <c r="AC8" s="29" t="s">
        <v>9</v>
      </c>
      <c r="AD8" s="29" t="s">
        <v>115</v>
      </c>
      <c r="AE8" s="30" t="s">
        <v>124</v>
      </c>
      <c r="AF8" s="32" t="s">
        <v>62</v>
      </c>
      <c r="AG8" s="29" t="s">
        <v>9</v>
      </c>
      <c r="AH8" s="29" t="s">
        <v>125</v>
      </c>
      <c r="AI8" s="29" t="s">
        <v>126</v>
      </c>
      <c r="AJ8" s="31" t="s">
        <v>9</v>
      </c>
      <c r="AK8" s="29" t="s">
        <v>127</v>
      </c>
      <c r="AL8" s="29" t="s">
        <v>37</v>
      </c>
      <c r="AM8" s="29" t="s">
        <v>62</v>
      </c>
      <c r="AN8" s="29" t="s">
        <v>128</v>
      </c>
      <c r="AO8" s="30" t="s">
        <v>62</v>
      </c>
      <c r="AP8" s="29" t="s">
        <v>9</v>
      </c>
      <c r="AQ8" s="29" t="s">
        <v>129</v>
      </c>
      <c r="AR8" s="30" t="s">
        <v>117</v>
      </c>
    </row>
    <row r="9" spans="1:44" ht="15" thickTop="1" x14ac:dyDescent="0.3"/>
    <row r="11" spans="1:44" x14ac:dyDescent="0.3">
      <c r="A11" s="33">
        <v>-1957500</v>
      </c>
      <c r="B11" s="13">
        <v>1957</v>
      </c>
      <c r="C11" s="13" t="s">
        <v>130</v>
      </c>
      <c r="D11" s="13" t="s">
        <v>131</v>
      </c>
      <c r="E11" s="13" t="s">
        <v>132</v>
      </c>
      <c r="F11" s="34">
        <v>1</v>
      </c>
      <c r="G11" s="13" t="s">
        <v>133</v>
      </c>
      <c r="H11" s="35" t="s">
        <v>134</v>
      </c>
      <c r="I11" s="36">
        <v>2454947</v>
      </c>
      <c r="J11" s="36">
        <v>898573</v>
      </c>
      <c r="K11" s="36">
        <v>1199678</v>
      </c>
      <c r="L11" s="36">
        <v>0</v>
      </c>
      <c r="M11" s="36">
        <v>468750</v>
      </c>
      <c r="N11" s="36">
        <v>730928</v>
      </c>
      <c r="O11" s="37">
        <v>356696</v>
      </c>
      <c r="P11" s="36">
        <v>958293</v>
      </c>
      <c r="Q11" s="36">
        <v>724960</v>
      </c>
      <c r="R11" s="36">
        <v>215878</v>
      </c>
      <c r="S11" s="37">
        <v>17455</v>
      </c>
      <c r="T11" s="36">
        <v>12834199</v>
      </c>
      <c r="U11" s="36">
        <v>212864</v>
      </c>
      <c r="V11" s="36">
        <v>-11111</v>
      </c>
      <c r="W11" s="36">
        <v>-11111</v>
      </c>
      <c r="X11" s="36">
        <v>12621335</v>
      </c>
      <c r="Y11" s="36">
        <v>8422743</v>
      </c>
      <c r="Z11" s="36">
        <v>5115157</v>
      </c>
      <c r="AA11" s="36">
        <v>-11111</v>
      </c>
      <c r="AB11" s="36">
        <v>-11111</v>
      </c>
      <c r="AC11" s="36">
        <v>3307586</v>
      </c>
      <c r="AD11" s="36">
        <v>2020324</v>
      </c>
      <c r="AE11" s="37">
        <v>1287262</v>
      </c>
      <c r="AF11" s="36">
        <v>4198592</v>
      </c>
      <c r="AG11" s="36">
        <v>3562910</v>
      </c>
      <c r="AH11" s="36">
        <v>3379929</v>
      </c>
      <c r="AI11" s="37">
        <v>182981</v>
      </c>
      <c r="AJ11" s="36">
        <v>635683</v>
      </c>
      <c r="AK11" s="36">
        <v>4584</v>
      </c>
      <c r="AL11" s="36">
        <v>450969</v>
      </c>
      <c r="AM11" s="36">
        <v>-11111</v>
      </c>
      <c r="AN11" s="36">
        <v>-11111</v>
      </c>
      <c r="AO11" s="37">
        <v>180130</v>
      </c>
      <c r="AP11" s="36">
        <v>-11111</v>
      </c>
      <c r="AQ11" s="36">
        <v>-11111</v>
      </c>
      <c r="AR11" s="37">
        <v>-11111</v>
      </c>
    </row>
    <row r="12" spans="1:44" x14ac:dyDescent="0.3">
      <c r="A12" s="33">
        <v>-1959500</v>
      </c>
      <c r="B12" s="13">
        <v>1959</v>
      </c>
      <c r="C12" s="13" t="s">
        <v>130</v>
      </c>
      <c r="D12" s="13" t="s">
        <v>131</v>
      </c>
      <c r="E12" s="13" t="s">
        <v>132</v>
      </c>
      <c r="F12" s="34">
        <v>1</v>
      </c>
      <c r="G12" s="13" t="s">
        <v>133</v>
      </c>
      <c r="H12" s="35" t="s">
        <v>134</v>
      </c>
      <c r="I12" s="36">
        <v>2974345</v>
      </c>
      <c r="J12" s="36">
        <v>1073242</v>
      </c>
      <c r="K12" s="36">
        <v>1403373</v>
      </c>
      <c r="L12" s="36">
        <v>0</v>
      </c>
      <c r="M12" s="36">
        <v>537458</v>
      </c>
      <c r="N12" s="36">
        <v>865915</v>
      </c>
      <c r="O12" s="37">
        <v>497730</v>
      </c>
      <c r="P12" s="36">
        <v>1183668</v>
      </c>
      <c r="Q12" s="36">
        <v>920527</v>
      </c>
      <c r="R12" s="36">
        <v>223520</v>
      </c>
      <c r="S12" s="37">
        <v>39621</v>
      </c>
      <c r="T12" s="36">
        <v>16340465</v>
      </c>
      <c r="U12" s="36">
        <v>226251</v>
      </c>
      <c r="V12" s="36">
        <v>-11111</v>
      </c>
      <c r="W12" s="36">
        <v>-11111</v>
      </c>
      <c r="X12" s="36">
        <v>16114214</v>
      </c>
      <c r="Y12" s="36">
        <v>9672927</v>
      </c>
      <c r="Z12" s="36">
        <v>5545256</v>
      </c>
      <c r="AA12" s="36">
        <v>-11111</v>
      </c>
      <c r="AB12" s="36">
        <v>-11111</v>
      </c>
      <c r="AC12" s="36">
        <v>4127671</v>
      </c>
      <c r="AD12" s="36">
        <v>2486529</v>
      </c>
      <c r="AE12" s="37">
        <v>1641142</v>
      </c>
      <c r="AF12" s="36">
        <v>6441287</v>
      </c>
      <c r="AG12" s="36">
        <v>5304231</v>
      </c>
      <c r="AH12" s="36">
        <v>5003010</v>
      </c>
      <c r="AI12" s="37">
        <v>301221</v>
      </c>
      <c r="AJ12" s="36">
        <v>1137056</v>
      </c>
      <c r="AK12" s="36">
        <v>4501</v>
      </c>
      <c r="AL12" s="36">
        <v>845539</v>
      </c>
      <c r="AM12" s="36">
        <v>-11111</v>
      </c>
      <c r="AN12" s="36">
        <v>-11111</v>
      </c>
      <c r="AO12" s="37">
        <v>287016</v>
      </c>
      <c r="AP12" s="36">
        <v>-11111</v>
      </c>
      <c r="AQ12" s="36">
        <v>-11111</v>
      </c>
      <c r="AR12" s="37">
        <v>-11111</v>
      </c>
    </row>
    <row r="13" spans="1:44" x14ac:dyDescent="0.3">
      <c r="A13" s="33">
        <v>-1960500</v>
      </c>
      <c r="B13" s="13">
        <v>1960</v>
      </c>
      <c r="C13" s="13" t="s">
        <v>130</v>
      </c>
      <c r="D13" s="13" t="s">
        <v>131</v>
      </c>
      <c r="E13" s="13" t="s">
        <v>132</v>
      </c>
      <c r="F13" s="34">
        <v>1</v>
      </c>
      <c r="G13" s="13" t="s">
        <v>133</v>
      </c>
      <c r="H13" s="35" t="s">
        <v>134</v>
      </c>
      <c r="I13" s="36">
        <v>3393098</v>
      </c>
      <c r="J13" s="36">
        <v>1140119</v>
      </c>
      <c r="K13" s="36">
        <v>1651882</v>
      </c>
      <c r="L13" s="36">
        <v>0</v>
      </c>
      <c r="M13" s="36">
        <v>692835</v>
      </c>
      <c r="N13" s="36">
        <v>959047</v>
      </c>
      <c r="O13" s="37">
        <v>601097</v>
      </c>
      <c r="P13" s="36">
        <v>1299983</v>
      </c>
      <c r="Q13" s="36">
        <v>1010488</v>
      </c>
      <c r="R13" s="36">
        <v>254462</v>
      </c>
      <c r="S13" s="37">
        <v>35033</v>
      </c>
      <c r="T13" s="36">
        <v>18538618</v>
      </c>
      <c r="U13" s="36">
        <v>221234</v>
      </c>
      <c r="V13" s="36">
        <v>-11111</v>
      </c>
      <c r="W13" s="36">
        <v>-11111</v>
      </c>
      <c r="X13" s="36">
        <v>18317384</v>
      </c>
      <c r="Y13" s="36">
        <v>10292755</v>
      </c>
      <c r="Z13" s="36">
        <v>5954435</v>
      </c>
      <c r="AA13" s="36">
        <v>-11111</v>
      </c>
      <c r="AB13" s="36">
        <v>-11111</v>
      </c>
      <c r="AC13" s="36">
        <v>4338320</v>
      </c>
      <c r="AD13" s="36">
        <v>2659844</v>
      </c>
      <c r="AE13" s="37">
        <v>1678476</v>
      </c>
      <c r="AF13" s="36">
        <v>8024634</v>
      </c>
      <c r="AG13" s="36">
        <v>6491766</v>
      </c>
      <c r="AH13" s="36">
        <v>6098516</v>
      </c>
      <c r="AI13" s="37">
        <v>393250</v>
      </c>
      <c r="AJ13" s="36">
        <v>1532866</v>
      </c>
      <c r="AK13" s="36">
        <v>7070</v>
      </c>
      <c r="AL13" s="36">
        <v>1180502</v>
      </c>
      <c r="AM13" s="36">
        <v>-11111</v>
      </c>
      <c r="AN13" s="36">
        <v>-11111</v>
      </c>
      <c r="AO13" s="37">
        <v>345294</v>
      </c>
      <c r="AP13" s="36">
        <v>-11111</v>
      </c>
      <c r="AQ13" s="36">
        <v>-11111</v>
      </c>
      <c r="AR13" s="37">
        <v>-11111</v>
      </c>
    </row>
    <row r="14" spans="1:44" x14ac:dyDescent="0.3">
      <c r="A14" s="33">
        <v>-1961500</v>
      </c>
      <c r="B14" s="13">
        <v>1961</v>
      </c>
      <c r="C14" s="13" t="s">
        <v>130</v>
      </c>
      <c r="D14" s="13" t="s">
        <v>131</v>
      </c>
      <c r="E14" s="13" t="s">
        <v>132</v>
      </c>
      <c r="F14" s="34">
        <v>1</v>
      </c>
      <c r="G14" s="13" t="s">
        <v>133</v>
      </c>
      <c r="H14" s="35" t="s">
        <v>134</v>
      </c>
      <c r="I14" s="36">
        <v>3723860</v>
      </c>
      <c r="J14" s="36">
        <v>1200867</v>
      </c>
      <c r="K14" s="36">
        <v>1805834</v>
      </c>
      <c r="L14" s="36">
        <v>0</v>
      </c>
      <c r="M14" s="36">
        <v>768782</v>
      </c>
      <c r="N14" s="36">
        <v>1037052</v>
      </c>
      <c r="O14" s="37">
        <v>717157</v>
      </c>
      <c r="P14" s="36">
        <v>1412019</v>
      </c>
      <c r="Q14" s="36">
        <v>1133009</v>
      </c>
      <c r="R14" s="36">
        <v>249940</v>
      </c>
      <c r="S14" s="37">
        <v>29066</v>
      </c>
      <c r="T14" s="36">
        <v>20875229</v>
      </c>
      <c r="U14" s="36">
        <v>268052</v>
      </c>
      <c r="V14" s="36">
        <v>-11111</v>
      </c>
      <c r="W14" s="36">
        <v>-11111</v>
      </c>
      <c r="X14" s="36">
        <v>20607177</v>
      </c>
      <c r="Y14" s="36">
        <v>10393248</v>
      </c>
      <c r="Z14" s="36">
        <v>5990262</v>
      </c>
      <c r="AA14" s="36">
        <v>-11111</v>
      </c>
      <c r="AB14" s="36">
        <v>-11111</v>
      </c>
      <c r="AC14" s="36">
        <v>4402986</v>
      </c>
      <c r="AD14" s="36">
        <v>2686950</v>
      </c>
      <c r="AE14" s="37">
        <v>1716036</v>
      </c>
      <c r="AF14" s="36">
        <v>10213931</v>
      </c>
      <c r="AG14" s="36">
        <v>7950439</v>
      </c>
      <c r="AH14" s="36">
        <v>7467739</v>
      </c>
      <c r="AI14" s="37">
        <v>482700</v>
      </c>
      <c r="AJ14" s="36">
        <v>2263495</v>
      </c>
      <c r="AK14" s="36">
        <v>9386</v>
      </c>
      <c r="AL14" s="36">
        <v>1719403</v>
      </c>
      <c r="AM14" s="36">
        <v>-11111</v>
      </c>
      <c r="AN14" s="36">
        <v>-11111</v>
      </c>
      <c r="AO14" s="37">
        <v>534706</v>
      </c>
      <c r="AP14" s="36">
        <v>-11111</v>
      </c>
      <c r="AQ14" s="36">
        <v>-11111</v>
      </c>
      <c r="AR14" s="37">
        <v>-11111</v>
      </c>
    </row>
    <row r="15" spans="1:44" x14ac:dyDescent="0.3">
      <c r="A15" s="33">
        <v>-1962500</v>
      </c>
      <c r="B15" s="13">
        <v>1962</v>
      </c>
      <c r="C15" s="13" t="s">
        <v>130</v>
      </c>
      <c r="D15" s="13" t="s">
        <v>131</v>
      </c>
      <c r="E15" s="13" t="s">
        <v>132</v>
      </c>
      <c r="F15" s="34">
        <v>1</v>
      </c>
      <c r="G15" s="13" t="s">
        <v>133</v>
      </c>
      <c r="H15" s="35" t="s">
        <v>134</v>
      </c>
      <c r="I15" s="36">
        <v>3997106</v>
      </c>
      <c r="J15" s="36">
        <v>1287604</v>
      </c>
      <c r="K15" s="36">
        <v>1882846</v>
      </c>
      <c r="L15" s="36">
        <v>0</v>
      </c>
      <c r="M15" s="36">
        <v>800935</v>
      </c>
      <c r="N15" s="36">
        <v>1081911</v>
      </c>
      <c r="O15" s="37">
        <v>826655</v>
      </c>
      <c r="P15" s="36">
        <v>1589260</v>
      </c>
      <c r="Q15" s="36">
        <v>1258594</v>
      </c>
      <c r="R15" s="36">
        <v>308491</v>
      </c>
      <c r="S15" s="37">
        <v>22175</v>
      </c>
      <c r="T15" s="36">
        <v>23293775</v>
      </c>
      <c r="U15" s="36">
        <v>285787</v>
      </c>
      <c r="V15" s="36">
        <v>-11111</v>
      </c>
      <c r="W15" s="36">
        <v>-11111</v>
      </c>
      <c r="X15" s="36">
        <v>23007988</v>
      </c>
      <c r="Y15" s="36">
        <v>10159944</v>
      </c>
      <c r="Z15" s="36">
        <v>6111692</v>
      </c>
      <c r="AA15" s="36">
        <v>-11111</v>
      </c>
      <c r="AB15" s="36">
        <v>-11111</v>
      </c>
      <c r="AC15" s="36">
        <v>4048252</v>
      </c>
      <c r="AD15" s="36">
        <v>2503251</v>
      </c>
      <c r="AE15" s="37">
        <v>1545001</v>
      </c>
      <c r="AF15" s="36">
        <v>12848045</v>
      </c>
      <c r="AG15" s="36">
        <v>10217000</v>
      </c>
      <c r="AH15" s="36">
        <v>9523000</v>
      </c>
      <c r="AI15" s="37">
        <v>694000</v>
      </c>
      <c r="AJ15" s="36">
        <v>2630000</v>
      </c>
      <c r="AK15" s="36">
        <v>8000</v>
      </c>
      <c r="AL15" s="36">
        <v>2053000</v>
      </c>
      <c r="AM15" s="36">
        <v>-11111</v>
      </c>
      <c r="AN15" s="36">
        <v>-11111</v>
      </c>
      <c r="AO15" s="37">
        <v>569000</v>
      </c>
      <c r="AP15" s="36">
        <v>-11111</v>
      </c>
      <c r="AQ15" s="36">
        <v>-11111</v>
      </c>
      <c r="AR15" s="37">
        <v>-11111</v>
      </c>
    </row>
    <row r="16" spans="1:44" x14ac:dyDescent="0.3">
      <c r="A16" s="33">
        <v>-1963500</v>
      </c>
      <c r="B16" s="13">
        <v>1963</v>
      </c>
      <c r="C16" s="13" t="s">
        <v>130</v>
      </c>
      <c r="D16" s="13" t="s">
        <v>131</v>
      </c>
      <c r="E16" s="13" t="s">
        <v>132</v>
      </c>
      <c r="F16" s="34">
        <v>1</v>
      </c>
      <c r="G16" s="13" t="s">
        <v>133</v>
      </c>
      <c r="H16" s="35" t="s">
        <v>134</v>
      </c>
      <c r="I16" s="36">
        <v>4444830</v>
      </c>
      <c r="J16" s="36">
        <v>1373636</v>
      </c>
      <c r="K16" s="36">
        <v>2121614</v>
      </c>
      <c r="L16" s="36">
        <v>0</v>
      </c>
      <c r="M16" s="36">
        <v>900456</v>
      </c>
      <c r="N16" s="36">
        <v>1221158</v>
      </c>
      <c r="O16" s="37">
        <v>949580</v>
      </c>
      <c r="P16" s="36">
        <v>1739438</v>
      </c>
      <c r="Q16" s="36">
        <v>1390208</v>
      </c>
      <c r="R16" s="36">
        <v>300201</v>
      </c>
      <c r="S16" s="37">
        <v>49029</v>
      </c>
      <c r="T16" s="36">
        <v>25928555</v>
      </c>
      <c r="U16" s="36">
        <v>321669</v>
      </c>
      <c r="V16" s="36">
        <v>-11111</v>
      </c>
      <c r="W16" s="36">
        <v>-11111</v>
      </c>
      <c r="X16" s="36">
        <v>25606886</v>
      </c>
      <c r="Y16" s="36">
        <v>10014462</v>
      </c>
      <c r="Z16" s="36">
        <v>6507342</v>
      </c>
      <c r="AA16" s="36">
        <v>-11111</v>
      </c>
      <c r="AB16" s="36">
        <v>-11111</v>
      </c>
      <c r="AC16" s="36">
        <v>3507120</v>
      </c>
      <c r="AD16" s="36">
        <v>2223644</v>
      </c>
      <c r="AE16" s="37">
        <v>1283476</v>
      </c>
      <c r="AF16" s="36">
        <v>15592424</v>
      </c>
      <c r="AG16" s="36">
        <v>12367316</v>
      </c>
      <c r="AH16" s="36">
        <v>11487801</v>
      </c>
      <c r="AI16" s="37">
        <v>879515</v>
      </c>
      <c r="AJ16" s="36">
        <v>3225107</v>
      </c>
      <c r="AK16" s="36">
        <v>7007</v>
      </c>
      <c r="AL16" s="36">
        <v>2460387</v>
      </c>
      <c r="AM16" s="36">
        <v>-11111</v>
      </c>
      <c r="AN16" s="36">
        <v>-11111</v>
      </c>
      <c r="AO16" s="37">
        <v>757713</v>
      </c>
      <c r="AP16" s="36">
        <v>-11111</v>
      </c>
      <c r="AQ16" s="36">
        <v>-11111</v>
      </c>
      <c r="AR16" s="37">
        <v>-11111</v>
      </c>
    </row>
    <row r="17" spans="1:44" x14ac:dyDescent="0.3">
      <c r="A17" s="33">
        <v>-1964500</v>
      </c>
      <c r="B17" s="13">
        <v>1964</v>
      </c>
      <c r="C17" s="13" t="s">
        <v>130</v>
      </c>
      <c r="D17" s="13" t="s">
        <v>131</v>
      </c>
      <c r="E17" s="13" t="s">
        <v>132</v>
      </c>
      <c r="F17" s="34">
        <v>1</v>
      </c>
      <c r="G17" s="13" t="s">
        <v>133</v>
      </c>
      <c r="H17" s="35" t="s">
        <v>134</v>
      </c>
      <c r="I17" s="36">
        <v>4786776</v>
      </c>
      <c r="J17" s="36">
        <v>1466223</v>
      </c>
      <c r="K17" s="36">
        <v>2255949</v>
      </c>
      <c r="L17" s="36">
        <v>0</v>
      </c>
      <c r="M17" s="36">
        <v>948748</v>
      </c>
      <c r="N17" s="36">
        <v>1307201</v>
      </c>
      <c r="O17" s="37">
        <v>1064604</v>
      </c>
      <c r="P17" s="36">
        <v>1843933</v>
      </c>
      <c r="Q17" s="36">
        <v>1517663</v>
      </c>
      <c r="R17" s="36">
        <v>326270</v>
      </c>
      <c r="S17" s="37">
        <v>-11111</v>
      </c>
      <c r="T17" s="36">
        <v>28639091</v>
      </c>
      <c r="U17" s="36">
        <v>299994</v>
      </c>
      <c r="V17" s="36">
        <v>-11111</v>
      </c>
      <c r="W17" s="36">
        <v>-11111</v>
      </c>
      <c r="X17" s="36">
        <v>28339097</v>
      </c>
      <c r="Y17" s="36">
        <v>10036072</v>
      </c>
      <c r="Z17" s="36">
        <v>6954347</v>
      </c>
      <c r="AA17" s="36">
        <v>-11111</v>
      </c>
      <c r="AB17" s="36">
        <v>-11111</v>
      </c>
      <c r="AC17" s="36">
        <v>3081725</v>
      </c>
      <c r="AD17" s="36">
        <v>-11111</v>
      </c>
      <c r="AE17" s="37">
        <v>-11111</v>
      </c>
      <c r="AF17" s="36">
        <v>18303025</v>
      </c>
      <c r="AG17" s="36">
        <v>14469000</v>
      </c>
      <c r="AH17" s="36">
        <v>13346000</v>
      </c>
      <c r="AI17" s="37">
        <v>1123000</v>
      </c>
      <c r="AJ17" s="36">
        <v>3834000</v>
      </c>
      <c r="AK17" s="36">
        <v>18000</v>
      </c>
      <c r="AL17" s="36">
        <v>2809000</v>
      </c>
      <c r="AM17" s="36">
        <v>-11111</v>
      </c>
      <c r="AN17" s="36">
        <v>-11111</v>
      </c>
      <c r="AO17" s="37">
        <v>1007000</v>
      </c>
      <c r="AP17" s="36">
        <v>-11111</v>
      </c>
      <c r="AQ17" s="36">
        <v>-11111</v>
      </c>
      <c r="AR17" s="37">
        <v>-11111</v>
      </c>
    </row>
    <row r="18" spans="1:44" x14ac:dyDescent="0.3">
      <c r="A18" s="33">
        <v>-1965500</v>
      </c>
      <c r="B18" s="13">
        <v>1965</v>
      </c>
      <c r="C18" s="13" t="s">
        <v>130</v>
      </c>
      <c r="D18" s="13" t="s">
        <v>131</v>
      </c>
      <c r="E18" s="13" t="s">
        <v>132</v>
      </c>
      <c r="F18" s="34">
        <v>1</v>
      </c>
      <c r="G18" s="13" t="s">
        <v>133</v>
      </c>
      <c r="H18" s="35" t="s">
        <v>134</v>
      </c>
      <c r="I18" s="36">
        <v>5259835</v>
      </c>
      <c r="J18" s="36">
        <v>1625594</v>
      </c>
      <c r="K18" s="36">
        <v>2418202</v>
      </c>
      <c r="L18" s="36">
        <v>0</v>
      </c>
      <c r="M18" s="36">
        <v>1025657</v>
      </c>
      <c r="N18" s="36">
        <v>1392545</v>
      </c>
      <c r="O18" s="37">
        <v>1216039</v>
      </c>
      <c r="P18" s="36">
        <v>2008494</v>
      </c>
      <c r="Q18" s="36">
        <v>1685805</v>
      </c>
      <c r="R18" s="36">
        <v>322689</v>
      </c>
      <c r="S18" s="37">
        <v>-11111</v>
      </c>
      <c r="T18" s="36">
        <v>31813750</v>
      </c>
      <c r="U18" s="36">
        <v>322520</v>
      </c>
      <c r="V18" s="36">
        <v>-11111</v>
      </c>
      <c r="W18" s="36">
        <v>-11111</v>
      </c>
      <c r="X18" s="36">
        <v>31491230</v>
      </c>
      <c r="Y18" s="36">
        <v>10141226</v>
      </c>
      <c r="Z18" s="36">
        <v>7396711</v>
      </c>
      <c r="AA18" s="36">
        <v>-11111</v>
      </c>
      <c r="AB18" s="36">
        <v>-11111</v>
      </c>
      <c r="AC18" s="36">
        <v>2744515</v>
      </c>
      <c r="AD18" s="36">
        <v>-11111</v>
      </c>
      <c r="AE18" s="37">
        <v>-11111</v>
      </c>
      <c r="AF18" s="36">
        <v>21350004</v>
      </c>
      <c r="AG18" s="36">
        <v>16520000</v>
      </c>
      <c r="AH18" s="36">
        <v>15098000</v>
      </c>
      <c r="AI18" s="37">
        <v>1422000</v>
      </c>
      <c r="AJ18" s="36">
        <v>4830000</v>
      </c>
      <c r="AK18" s="36">
        <v>15000</v>
      </c>
      <c r="AL18" s="36">
        <v>3379000</v>
      </c>
      <c r="AM18" s="36">
        <v>-11111</v>
      </c>
      <c r="AN18" s="36">
        <v>-11111</v>
      </c>
      <c r="AO18" s="37">
        <v>1436000</v>
      </c>
      <c r="AP18" s="36">
        <v>-11111</v>
      </c>
      <c r="AQ18" s="36">
        <v>-11111</v>
      </c>
      <c r="AR18" s="37">
        <v>-11111</v>
      </c>
    </row>
    <row r="19" spans="1:44" x14ac:dyDescent="0.3">
      <c r="A19" s="33">
        <v>-1966500</v>
      </c>
      <c r="B19" s="13">
        <v>1966</v>
      </c>
      <c r="C19" s="13" t="s">
        <v>130</v>
      </c>
      <c r="D19" s="13" t="s">
        <v>131</v>
      </c>
      <c r="E19" s="13" t="s">
        <v>132</v>
      </c>
      <c r="F19" s="34">
        <v>1</v>
      </c>
      <c r="G19" s="13" t="s">
        <v>133</v>
      </c>
      <c r="H19" s="35" t="s">
        <v>134</v>
      </c>
      <c r="I19" s="36">
        <v>5770773</v>
      </c>
      <c r="J19" s="36">
        <v>1771193</v>
      </c>
      <c r="K19" s="36">
        <v>2630022</v>
      </c>
      <c r="L19" s="36">
        <v>0</v>
      </c>
      <c r="M19" s="36">
        <v>1150534</v>
      </c>
      <c r="N19" s="36">
        <v>1479488</v>
      </c>
      <c r="O19" s="37">
        <v>1369558</v>
      </c>
      <c r="P19" s="36">
        <v>2218586</v>
      </c>
      <c r="Q19" s="36">
        <v>1859209</v>
      </c>
      <c r="R19" s="36">
        <v>359377</v>
      </c>
      <c r="S19" s="37">
        <v>-11111</v>
      </c>
      <c r="T19" s="36">
        <v>35261876</v>
      </c>
      <c r="U19" s="36">
        <v>318225</v>
      </c>
      <c r="V19" s="36">
        <v>-11111</v>
      </c>
      <c r="W19" s="36">
        <v>-11111</v>
      </c>
      <c r="X19" s="36">
        <v>34943651</v>
      </c>
      <c r="Y19" s="36">
        <v>9577916</v>
      </c>
      <c r="Z19" s="36">
        <v>7046257</v>
      </c>
      <c r="AA19" s="36">
        <v>-11111</v>
      </c>
      <c r="AB19" s="36">
        <v>-11111</v>
      </c>
      <c r="AC19" s="36">
        <v>2531659</v>
      </c>
      <c r="AD19" s="36">
        <v>-11111</v>
      </c>
      <c r="AE19" s="37">
        <v>-11111</v>
      </c>
      <c r="AF19" s="36">
        <v>25365735</v>
      </c>
      <c r="AG19" s="36">
        <v>19487000</v>
      </c>
      <c r="AH19" s="36">
        <v>17650000</v>
      </c>
      <c r="AI19" s="37">
        <v>1837000</v>
      </c>
      <c r="AJ19" s="36">
        <v>5881000</v>
      </c>
      <c r="AK19" s="36">
        <v>-11111</v>
      </c>
      <c r="AL19" s="36">
        <v>4131000</v>
      </c>
      <c r="AM19" s="36">
        <v>-11111</v>
      </c>
      <c r="AN19" s="36">
        <v>-11111</v>
      </c>
      <c r="AO19" s="37">
        <v>1750000</v>
      </c>
      <c r="AP19" s="36">
        <v>-11111</v>
      </c>
      <c r="AQ19" s="36">
        <v>-11111</v>
      </c>
      <c r="AR19" s="37">
        <v>-11111</v>
      </c>
    </row>
    <row r="20" spans="1:44" x14ac:dyDescent="0.3">
      <c r="A20" s="33">
        <v>-1967500</v>
      </c>
      <c r="B20" s="13">
        <v>1967</v>
      </c>
      <c r="C20" s="13" t="s">
        <v>130</v>
      </c>
      <c r="D20" s="13" t="s">
        <v>131</v>
      </c>
      <c r="E20" s="13" t="s">
        <v>132</v>
      </c>
      <c r="F20" s="34">
        <v>1</v>
      </c>
      <c r="G20" s="13" t="s">
        <v>133</v>
      </c>
      <c r="H20" s="35" t="s">
        <v>134</v>
      </c>
      <c r="I20" s="36">
        <v>6580256</v>
      </c>
      <c r="J20" s="36">
        <v>1959641</v>
      </c>
      <c r="K20" s="36">
        <v>3055357</v>
      </c>
      <c r="L20" s="36">
        <v>0</v>
      </c>
      <c r="M20" s="36">
        <v>1353278</v>
      </c>
      <c r="N20" s="36">
        <v>1702079</v>
      </c>
      <c r="O20" s="37">
        <v>1565258</v>
      </c>
      <c r="P20" s="36">
        <v>2683663</v>
      </c>
      <c r="Q20" s="36">
        <v>2102553</v>
      </c>
      <c r="R20" s="36">
        <v>505758</v>
      </c>
      <c r="S20" s="37">
        <v>75351</v>
      </c>
      <c r="T20" s="36">
        <v>39264507</v>
      </c>
      <c r="U20" s="36">
        <v>432144</v>
      </c>
      <c r="V20" s="36">
        <v>-11111</v>
      </c>
      <c r="W20" s="36">
        <v>-11111</v>
      </c>
      <c r="X20" s="36">
        <v>38832363</v>
      </c>
      <c r="Y20" s="36">
        <v>9091865</v>
      </c>
      <c r="Z20" s="36">
        <v>6649643</v>
      </c>
      <c r="AA20" s="36">
        <v>-11111</v>
      </c>
      <c r="AB20" s="36">
        <v>-11111</v>
      </c>
      <c r="AC20" s="36">
        <v>2442222</v>
      </c>
      <c r="AD20" s="36">
        <v>-11111</v>
      </c>
      <c r="AE20" s="37">
        <v>-11111</v>
      </c>
      <c r="AF20" s="36">
        <v>29740498</v>
      </c>
      <c r="AG20" s="36">
        <v>22666320</v>
      </c>
      <c r="AH20" s="36">
        <v>20276000</v>
      </c>
      <c r="AI20" s="37">
        <v>2391000</v>
      </c>
      <c r="AJ20" s="36">
        <v>7074178</v>
      </c>
      <c r="AK20" s="36">
        <v>-11111</v>
      </c>
      <c r="AL20" s="36">
        <v>4847000</v>
      </c>
      <c r="AM20" s="36">
        <v>-11111</v>
      </c>
      <c r="AN20" s="36">
        <v>-11111</v>
      </c>
      <c r="AO20" s="37">
        <v>2227000</v>
      </c>
      <c r="AP20" s="36">
        <v>-11111</v>
      </c>
      <c r="AQ20" s="36">
        <v>-11111</v>
      </c>
      <c r="AR20" s="37">
        <v>-11111</v>
      </c>
    </row>
    <row r="21" spans="1:44" x14ac:dyDescent="0.3">
      <c r="A21" s="33">
        <v>-1968500</v>
      </c>
      <c r="B21" s="13">
        <v>1968</v>
      </c>
      <c r="C21" s="13" t="s">
        <v>130</v>
      </c>
      <c r="D21" s="13" t="s">
        <v>131</v>
      </c>
      <c r="E21" s="13" t="s">
        <v>132</v>
      </c>
      <c r="F21" s="34">
        <v>1</v>
      </c>
      <c r="G21" s="13" t="s">
        <v>133</v>
      </c>
      <c r="H21" s="35" t="s">
        <v>134</v>
      </c>
      <c r="I21" s="36">
        <v>7568153</v>
      </c>
      <c r="J21" s="36">
        <v>2192503</v>
      </c>
      <c r="K21" s="36">
        <v>3584938</v>
      </c>
      <c r="L21" s="36">
        <v>0</v>
      </c>
      <c r="M21" s="36">
        <v>1660380</v>
      </c>
      <c r="N21" s="36">
        <v>1924558</v>
      </c>
      <c r="O21" s="37">
        <v>1790712</v>
      </c>
      <c r="P21" s="36">
        <v>2823785</v>
      </c>
      <c r="Q21" s="36">
        <v>2333771</v>
      </c>
      <c r="R21" s="36">
        <v>490014</v>
      </c>
      <c r="S21" s="37">
        <v>-11111</v>
      </c>
      <c r="T21" s="36">
        <v>43651849</v>
      </c>
      <c r="U21" s="36">
        <v>471535</v>
      </c>
      <c r="V21" s="36">
        <v>-11111</v>
      </c>
      <c r="W21" s="36">
        <v>-11111</v>
      </c>
      <c r="X21" s="36">
        <v>43180314</v>
      </c>
      <c r="Y21" s="36">
        <v>8498552</v>
      </c>
      <c r="Z21" s="36">
        <v>6126647</v>
      </c>
      <c r="AA21" s="36">
        <v>-11111</v>
      </c>
      <c r="AB21" s="36">
        <v>-11111</v>
      </c>
      <c r="AC21" s="36">
        <v>2371905</v>
      </c>
      <c r="AD21" s="36">
        <v>-11111</v>
      </c>
      <c r="AE21" s="37">
        <v>-11111</v>
      </c>
      <c r="AF21" s="36">
        <v>34681762</v>
      </c>
      <c r="AG21" s="36">
        <v>26627000</v>
      </c>
      <c r="AH21" s="36">
        <v>23316000</v>
      </c>
      <c r="AI21" s="37">
        <v>3311000</v>
      </c>
      <c r="AJ21" s="36">
        <v>8055000</v>
      </c>
      <c r="AK21" s="36">
        <v>-11111</v>
      </c>
      <c r="AL21" s="36">
        <v>5264000</v>
      </c>
      <c r="AM21" s="36">
        <v>-11111</v>
      </c>
      <c r="AN21" s="36">
        <v>-11111</v>
      </c>
      <c r="AO21" s="37">
        <v>2791000</v>
      </c>
      <c r="AP21" s="36">
        <v>-11111</v>
      </c>
      <c r="AQ21" s="36">
        <v>-11111</v>
      </c>
      <c r="AR21" s="37">
        <v>-11111</v>
      </c>
    </row>
    <row r="22" spans="1:44" x14ac:dyDescent="0.3">
      <c r="A22" s="33">
        <v>-1969500</v>
      </c>
      <c r="B22" s="13">
        <v>1969</v>
      </c>
      <c r="C22" s="13" t="s">
        <v>130</v>
      </c>
      <c r="D22" s="13" t="s">
        <v>131</v>
      </c>
      <c r="E22" s="13" t="s">
        <v>132</v>
      </c>
      <c r="F22" s="34">
        <v>1</v>
      </c>
      <c r="G22" s="13" t="s">
        <v>133</v>
      </c>
      <c r="H22" s="35" t="s">
        <v>134</v>
      </c>
      <c r="I22" s="36">
        <v>8557997</v>
      </c>
      <c r="J22" s="36">
        <v>2439987</v>
      </c>
      <c r="K22" s="36">
        <v>3976174</v>
      </c>
      <c r="L22" s="36">
        <v>0</v>
      </c>
      <c r="M22" s="36">
        <v>1787947</v>
      </c>
      <c r="N22" s="36">
        <v>2188227</v>
      </c>
      <c r="O22" s="37">
        <v>2141836</v>
      </c>
      <c r="P22" s="36">
        <v>3202045</v>
      </c>
      <c r="Q22" s="36">
        <v>2638464</v>
      </c>
      <c r="R22" s="36">
        <v>563581</v>
      </c>
      <c r="S22" s="37">
        <v>-11111</v>
      </c>
      <c r="T22" s="36">
        <v>48873326</v>
      </c>
      <c r="U22" s="36">
        <v>457852</v>
      </c>
      <c r="V22" s="36">
        <v>-11111</v>
      </c>
      <c r="W22" s="36">
        <v>-11111</v>
      </c>
      <c r="X22" s="36">
        <v>48415474</v>
      </c>
      <c r="Y22" s="36">
        <v>8183172</v>
      </c>
      <c r="Z22" s="36">
        <v>5815015</v>
      </c>
      <c r="AA22" s="36">
        <v>-11111</v>
      </c>
      <c r="AB22" s="36">
        <v>-11111</v>
      </c>
      <c r="AC22" s="36">
        <v>2368157</v>
      </c>
      <c r="AD22" s="36">
        <v>-11111</v>
      </c>
      <c r="AE22" s="37">
        <v>-11111</v>
      </c>
      <c r="AF22" s="36">
        <v>40232302</v>
      </c>
      <c r="AG22" s="36">
        <v>31639000</v>
      </c>
      <c r="AH22" s="36">
        <v>26718000</v>
      </c>
      <c r="AI22" s="37">
        <v>4921000</v>
      </c>
      <c r="AJ22" s="36">
        <v>8594000</v>
      </c>
      <c r="AK22" s="36">
        <v>-11111</v>
      </c>
      <c r="AL22" s="36">
        <v>5507000</v>
      </c>
      <c r="AM22" s="36">
        <v>-11111</v>
      </c>
      <c r="AN22" s="36">
        <v>-11111</v>
      </c>
      <c r="AO22" s="37">
        <v>3087000</v>
      </c>
      <c r="AP22" s="36">
        <v>-11111</v>
      </c>
      <c r="AQ22" s="36">
        <v>-11111</v>
      </c>
      <c r="AR22" s="37">
        <v>-11111</v>
      </c>
    </row>
    <row r="23" spans="1:44" x14ac:dyDescent="0.3">
      <c r="A23" s="33">
        <v>-1970500</v>
      </c>
      <c r="B23" s="13">
        <v>1970</v>
      </c>
      <c r="C23" s="13" t="s">
        <v>130</v>
      </c>
      <c r="D23" s="13" t="s">
        <v>131</v>
      </c>
      <c r="E23" s="13" t="s">
        <v>132</v>
      </c>
      <c r="F23" s="34">
        <v>1</v>
      </c>
      <c r="G23" s="13" t="s">
        <v>133</v>
      </c>
      <c r="H23" s="35" t="s">
        <v>134</v>
      </c>
      <c r="I23" s="36">
        <v>9847884</v>
      </c>
      <c r="J23" s="36">
        <v>2787764</v>
      </c>
      <c r="K23" s="36">
        <v>4600030</v>
      </c>
      <c r="L23" s="36">
        <v>0</v>
      </c>
      <c r="M23" s="36">
        <v>2045635</v>
      </c>
      <c r="N23" s="36">
        <v>2554395</v>
      </c>
      <c r="O23" s="37">
        <v>2460090</v>
      </c>
      <c r="P23" s="36">
        <v>3638022</v>
      </c>
      <c r="Q23" s="36">
        <v>3037011</v>
      </c>
      <c r="R23" s="36">
        <v>601011</v>
      </c>
      <c r="S23" s="37">
        <v>-11111</v>
      </c>
      <c r="T23" s="36">
        <v>54917541</v>
      </c>
      <c r="U23" s="36">
        <v>514927</v>
      </c>
      <c r="V23" s="36">
        <v>-11111</v>
      </c>
      <c r="W23" s="36">
        <v>-11111</v>
      </c>
      <c r="X23" s="36">
        <v>54402614</v>
      </c>
      <c r="Y23" s="36">
        <v>7337934</v>
      </c>
      <c r="Z23" s="36">
        <v>5178950</v>
      </c>
      <c r="AA23" s="36">
        <v>-11111</v>
      </c>
      <c r="AB23" s="36">
        <v>-11111</v>
      </c>
      <c r="AC23" s="36">
        <v>2158984</v>
      </c>
      <c r="AD23" s="36">
        <v>-11111</v>
      </c>
      <c r="AE23" s="37">
        <v>-11111</v>
      </c>
      <c r="AF23" s="36">
        <v>47064680</v>
      </c>
      <c r="AG23" s="36">
        <v>37044000</v>
      </c>
      <c r="AH23" s="36">
        <v>30132000</v>
      </c>
      <c r="AI23" s="37">
        <v>6912000</v>
      </c>
      <c r="AJ23" s="36">
        <v>10020000</v>
      </c>
      <c r="AK23" s="36">
        <v>-11111</v>
      </c>
      <c r="AL23" s="36">
        <v>6569000</v>
      </c>
      <c r="AM23" s="36">
        <v>-11111</v>
      </c>
      <c r="AN23" s="36">
        <v>-11111</v>
      </c>
      <c r="AO23" s="37">
        <v>3451000</v>
      </c>
      <c r="AP23" s="36">
        <v>-11111</v>
      </c>
      <c r="AQ23" s="36">
        <v>-11111</v>
      </c>
      <c r="AR23" s="37">
        <v>-11111</v>
      </c>
    </row>
    <row r="24" spans="1:44" x14ac:dyDescent="0.3">
      <c r="A24" s="33">
        <v>-1971500</v>
      </c>
      <c r="B24" s="13">
        <v>1971</v>
      </c>
      <c r="C24" s="13" t="s">
        <v>130</v>
      </c>
      <c r="D24" s="13" t="s">
        <v>131</v>
      </c>
      <c r="E24" s="13" t="s">
        <v>132</v>
      </c>
      <c r="F24" s="34">
        <v>1</v>
      </c>
      <c r="G24" s="13" t="s">
        <v>133</v>
      </c>
      <c r="H24" s="35" t="s">
        <v>134</v>
      </c>
      <c r="I24" s="36">
        <v>11309772</v>
      </c>
      <c r="J24" s="36">
        <v>3158716</v>
      </c>
      <c r="K24" s="36">
        <v>5241309</v>
      </c>
      <c r="L24" s="36">
        <v>0</v>
      </c>
      <c r="M24" s="36">
        <v>2296344</v>
      </c>
      <c r="N24" s="36">
        <v>2944965</v>
      </c>
      <c r="O24" s="37">
        <v>2909747</v>
      </c>
      <c r="P24" s="36">
        <v>4154916</v>
      </c>
      <c r="Q24" s="36">
        <v>3523951</v>
      </c>
      <c r="R24" s="36">
        <v>630965</v>
      </c>
      <c r="S24" s="37">
        <v>-11111</v>
      </c>
      <c r="T24" s="36">
        <v>61602941</v>
      </c>
      <c r="U24" s="36">
        <v>593066</v>
      </c>
      <c r="V24" s="36">
        <v>-11111</v>
      </c>
      <c r="W24" s="36">
        <v>-11111</v>
      </c>
      <c r="X24" s="36">
        <v>61009875</v>
      </c>
      <c r="Y24" s="36">
        <v>6504480</v>
      </c>
      <c r="Z24" s="36">
        <v>4462058</v>
      </c>
      <c r="AA24" s="36">
        <v>-11111</v>
      </c>
      <c r="AB24" s="36">
        <v>-11111</v>
      </c>
      <c r="AC24" s="36">
        <v>2042422</v>
      </c>
      <c r="AD24" s="36">
        <v>-11111</v>
      </c>
      <c r="AE24" s="37">
        <v>-11111</v>
      </c>
      <c r="AF24" s="36">
        <v>54505395</v>
      </c>
      <c r="AG24" s="36">
        <v>44110000</v>
      </c>
      <c r="AH24" s="36">
        <v>34641000</v>
      </c>
      <c r="AI24" s="37">
        <v>9469000</v>
      </c>
      <c r="AJ24" s="36">
        <v>10395000</v>
      </c>
      <c r="AK24" s="36">
        <v>-11111</v>
      </c>
      <c r="AL24" s="36">
        <v>6897000</v>
      </c>
      <c r="AM24" s="36">
        <v>-11111</v>
      </c>
      <c r="AN24" s="36">
        <v>-11111</v>
      </c>
      <c r="AO24" s="37">
        <v>3498000</v>
      </c>
      <c r="AP24" s="36">
        <v>-11111</v>
      </c>
      <c r="AQ24" s="36">
        <v>-11111</v>
      </c>
      <c r="AR24" s="37">
        <v>-11111</v>
      </c>
    </row>
    <row r="25" spans="1:44" x14ac:dyDescent="0.3">
      <c r="A25" s="33">
        <v>-1972500</v>
      </c>
      <c r="B25" s="13">
        <v>1972</v>
      </c>
      <c r="C25" s="13" t="s">
        <v>130</v>
      </c>
      <c r="D25" s="13" t="s">
        <v>131</v>
      </c>
      <c r="E25" s="13" t="s">
        <v>132</v>
      </c>
      <c r="F25" s="34">
        <v>1</v>
      </c>
      <c r="G25" s="13" t="s">
        <v>133</v>
      </c>
      <c r="H25" s="35" t="s">
        <v>134</v>
      </c>
      <c r="I25" s="36">
        <v>12620299</v>
      </c>
      <c r="J25" s="36">
        <v>3399723</v>
      </c>
      <c r="K25" s="36">
        <v>5750002</v>
      </c>
      <c r="L25" s="36">
        <v>0</v>
      </c>
      <c r="M25" s="36">
        <v>2530068</v>
      </c>
      <c r="N25" s="36">
        <v>3219934</v>
      </c>
      <c r="O25" s="37">
        <v>3470573</v>
      </c>
      <c r="P25" s="36">
        <v>4919623</v>
      </c>
      <c r="Q25" s="36">
        <v>4121228</v>
      </c>
      <c r="R25" s="36">
        <v>646690</v>
      </c>
      <c r="S25" s="37">
        <v>151705</v>
      </c>
      <c r="T25" s="36">
        <v>68760252</v>
      </c>
      <c r="U25" s="36">
        <v>791059</v>
      </c>
      <c r="V25" s="36">
        <v>-11111</v>
      </c>
      <c r="W25" s="36">
        <v>-11111</v>
      </c>
      <c r="X25" s="36">
        <v>67969192</v>
      </c>
      <c r="Y25" s="36">
        <v>6142412</v>
      </c>
      <c r="Z25" s="36">
        <v>3720848</v>
      </c>
      <c r="AA25" s="36">
        <v>-11111</v>
      </c>
      <c r="AB25" s="36">
        <v>-11111</v>
      </c>
      <c r="AC25" s="36">
        <v>2421564</v>
      </c>
      <c r="AD25" s="36">
        <v>-11111</v>
      </c>
      <c r="AE25" s="37">
        <v>-11111</v>
      </c>
      <c r="AF25" s="36">
        <v>61826780</v>
      </c>
      <c r="AG25" s="36">
        <v>50530629</v>
      </c>
      <c r="AH25" s="36">
        <v>37915000</v>
      </c>
      <c r="AI25" s="37">
        <v>12616000</v>
      </c>
      <c r="AJ25" s="36">
        <v>11296151</v>
      </c>
      <c r="AK25" s="36">
        <v>-11111</v>
      </c>
      <c r="AL25" s="36">
        <v>7001000</v>
      </c>
      <c r="AM25" s="36">
        <v>-11111</v>
      </c>
      <c r="AN25" s="36">
        <v>-11111</v>
      </c>
      <c r="AO25" s="37">
        <v>4295000</v>
      </c>
      <c r="AP25" s="36">
        <v>-11111</v>
      </c>
      <c r="AQ25" s="36">
        <v>-11111</v>
      </c>
      <c r="AR25" s="37">
        <v>-11111</v>
      </c>
    </row>
    <row r="26" spans="1:44" x14ac:dyDescent="0.3">
      <c r="A26" s="33">
        <v>-1973500</v>
      </c>
      <c r="B26" s="13">
        <v>1973</v>
      </c>
      <c r="C26" s="13" t="s">
        <v>130</v>
      </c>
      <c r="D26" s="13" t="s">
        <v>131</v>
      </c>
      <c r="E26" s="13" t="s">
        <v>132</v>
      </c>
      <c r="F26" s="34">
        <v>1</v>
      </c>
      <c r="G26" s="13" t="s">
        <v>133</v>
      </c>
      <c r="H26" s="35" t="s">
        <v>134</v>
      </c>
      <c r="I26" s="36">
        <v>14878220</v>
      </c>
      <c r="J26" s="36">
        <v>4165628</v>
      </c>
      <c r="K26" s="36">
        <v>6648929</v>
      </c>
      <c r="L26" s="36">
        <v>0</v>
      </c>
      <c r="M26" s="36">
        <v>2992535</v>
      </c>
      <c r="N26" s="36">
        <v>3656394</v>
      </c>
      <c r="O26" s="37">
        <v>4063663</v>
      </c>
      <c r="P26" s="36">
        <v>5811586</v>
      </c>
      <c r="Q26" s="36">
        <v>4947745</v>
      </c>
      <c r="R26" s="36">
        <v>863840</v>
      </c>
      <c r="S26" s="37">
        <v>-11111</v>
      </c>
      <c r="T26" s="36">
        <v>78417391</v>
      </c>
      <c r="U26" s="36">
        <v>1092333</v>
      </c>
      <c r="V26" s="36">
        <v>-11111</v>
      </c>
      <c r="W26" s="36">
        <v>-11111</v>
      </c>
      <c r="X26" s="36">
        <v>77325058</v>
      </c>
      <c r="Y26" s="36">
        <v>4984786</v>
      </c>
      <c r="Z26" s="36">
        <v>3458584</v>
      </c>
      <c r="AA26" s="36">
        <v>-11111</v>
      </c>
      <c r="AB26" s="36">
        <v>-11111</v>
      </c>
      <c r="AC26" s="36">
        <v>1526202</v>
      </c>
      <c r="AD26" s="36">
        <v>-11111</v>
      </c>
      <c r="AE26" s="37">
        <v>-11111</v>
      </c>
      <c r="AF26" s="36">
        <v>72340272</v>
      </c>
      <c r="AG26" s="36">
        <v>60396000</v>
      </c>
      <c r="AH26" s="36">
        <v>43333000</v>
      </c>
      <c r="AI26" s="37">
        <v>17063000</v>
      </c>
      <c r="AJ26" s="36">
        <v>11945000</v>
      </c>
      <c r="AK26" s="36">
        <v>-11111</v>
      </c>
      <c r="AL26" s="36">
        <v>6817000</v>
      </c>
      <c r="AM26" s="36">
        <v>-11111</v>
      </c>
      <c r="AN26" s="36">
        <v>-11111</v>
      </c>
      <c r="AO26" s="37">
        <v>5128000</v>
      </c>
      <c r="AP26" s="36">
        <v>-11111</v>
      </c>
      <c r="AQ26" s="36">
        <v>-11111</v>
      </c>
      <c r="AR26" s="37">
        <v>-11111</v>
      </c>
    </row>
    <row r="27" spans="1:44" x14ac:dyDescent="0.3">
      <c r="A27" s="33">
        <v>-1974500</v>
      </c>
      <c r="B27" s="13">
        <v>1974</v>
      </c>
      <c r="C27" s="13" t="s">
        <v>130</v>
      </c>
      <c r="D27" s="13" t="s">
        <v>131</v>
      </c>
      <c r="E27" s="13" t="s">
        <v>132</v>
      </c>
      <c r="F27" s="34">
        <v>1</v>
      </c>
      <c r="G27" s="13" t="s">
        <v>133</v>
      </c>
      <c r="H27" s="35" t="s">
        <v>134</v>
      </c>
      <c r="I27" s="36">
        <v>16527412</v>
      </c>
      <c r="J27" s="36">
        <v>4207015</v>
      </c>
      <c r="K27" s="36">
        <v>7820693</v>
      </c>
      <c r="L27" s="36">
        <v>0</v>
      </c>
      <c r="M27" s="36">
        <v>3383660</v>
      </c>
      <c r="N27" s="36">
        <v>4437033</v>
      </c>
      <c r="O27" s="37">
        <v>4499704</v>
      </c>
      <c r="P27" s="36">
        <v>6638582</v>
      </c>
      <c r="Q27" s="36">
        <v>5682477</v>
      </c>
      <c r="R27" s="36">
        <v>956105</v>
      </c>
      <c r="S27" s="37">
        <v>-11111</v>
      </c>
      <c r="T27" s="36">
        <v>87487565</v>
      </c>
      <c r="U27" s="36">
        <v>1487820</v>
      </c>
      <c r="V27" s="36">
        <v>-11111</v>
      </c>
      <c r="W27" s="36">
        <v>-11111</v>
      </c>
      <c r="X27" s="36">
        <v>85999745</v>
      </c>
      <c r="Y27" s="36">
        <v>6770800</v>
      </c>
      <c r="Z27" s="36">
        <v>5326552</v>
      </c>
      <c r="AA27" s="36">
        <v>1890178</v>
      </c>
      <c r="AB27" s="36">
        <v>3436374</v>
      </c>
      <c r="AC27" s="36">
        <v>1444248</v>
      </c>
      <c r="AD27" s="36">
        <v>-11111</v>
      </c>
      <c r="AE27" s="37">
        <v>-11111</v>
      </c>
      <c r="AF27" s="36">
        <v>79228945</v>
      </c>
      <c r="AG27" s="36">
        <v>66923000</v>
      </c>
      <c r="AH27" s="36">
        <v>47363000</v>
      </c>
      <c r="AI27" s="37">
        <v>19560000</v>
      </c>
      <c r="AJ27" s="36">
        <v>11372000</v>
      </c>
      <c r="AK27" s="36">
        <v>-11111</v>
      </c>
      <c r="AL27" s="36">
        <v>6621000</v>
      </c>
      <c r="AM27" s="36">
        <v>-11111</v>
      </c>
      <c r="AN27" s="36">
        <v>-11111</v>
      </c>
      <c r="AO27" s="37">
        <v>4751000</v>
      </c>
      <c r="AP27" s="36">
        <v>933000</v>
      </c>
      <c r="AQ27" s="36">
        <v>-11111</v>
      </c>
      <c r="AR27" s="37">
        <v>-11111</v>
      </c>
    </row>
    <row r="28" spans="1:44" x14ac:dyDescent="0.3">
      <c r="A28" s="33"/>
      <c r="B28" s="13"/>
      <c r="C28" s="13"/>
      <c r="D28" s="13"/>
      <c r="E28" s="13"/>
      <c r="F28" s="34"/>
      <c r="G28" s="13"/>
      <c r="H28" s="35"/>
      <c r="I28" s="36"/>
      <c r="J28" s="36"/>
      <c r="K28" s="36"/>
      <c r="L28" s="36"/>
      <c r="M28" s="36"/>
      <c r="N28" s="36"/>
      <c r="O28" s="37"/>
      <c r="P28" s="36"/>
      <c r="Q28" s="36"/>
      <c r="R28" s="36"/>
      <c r="S28" s="37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7"/>
      <c r="AF28" s="36"/>
      <c r="AG28" s="36"/>
      <c r="AH28" s="36"/>
      <c r="AI28" s="37"/>
      <c r="AJ28" s="36"/>
      <c r="AK28" s="36"/>
      <c r="AL28" s="36"/>
      <c r="AM28" s="36"/>
      <c r="AN28" s="36"/>
      <c r="AO28" s="37"/>
      <c r="AP28" s="36"/>
      <c r="AQ28" s="36"/>
      <c r="AR28" s="37"/>
    </row>
  </sheetData>
  <sortState xmlns:xlrd2="http://schemas.microsoft.com/office/spreadsheetml/2017/richdata2" ref="A11:AR28">
    <sortCondition ref="B11:B28"/>
  </sortState>
  <mergeCells count="20">
    <mergeCell ref="A1:H1"/>
    <mergeCell ref="I1:O1"/>
    <mergeCell ref="P1:S1"/>
    <mergeCell ref="T1:AJ1"/>
    <mergeCell ref="A2:H2"/>
    <mergeCell ref="U2:W2"/>
    <mergeCell ref="X2:AO2"/>
    <mergeCell ref="D7:E7"/>
    <mergeCell ref="AP2:AR2"/>
    <mergeCell ref="A3:H3"/>
    <mergeCell ref="Y3:AE3"/>
    <mergeCell ref="AF3:AO3"/>
    <mergeCell ref="A4:H4"/>
    <mergeCell ref="Z4:AB4"/>
    <mergeCell ref="AC4:AE4"/>
    <mergeCell ref="A5:H5"/>
    <mergeCell ref="K5:N5"/>
    <mergeCell ref="AG5:AI5"/>
    <mergeCell ref="AJ5:AO5"/>
    <mergeCell ref="A6:H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AD439E-64F8-49E5-921B-B692577C8C56}">
  <dimension ref="B4:L21"/>
  <sheetViews>
    <sheetView zoomScale="69" workbookViewId="0">
      <selection activeCell="G31" sqref="G31"/>
    </sheetView>
  </sheetViews>
  <sheetFormatPr defaultRowHeight="14.4" x14ac:dyDescent="0.3"/>
  <cols>
    <col min="4" max="4" width="13.88671875" customWidth="1"/>
    <col min="8" max="8" width="10.88671875" customWidth="1"/>
    <col min="9" max="9" width="11.77734375" customWidth="1"/>
    <col min="10" max="10" width="10.6640625" customWidth="1"/>
  </cols>
  <sheetData>
    <row r="4" spans="2:12" x14ac:dyDescent="0.3">
      <c r="D4" t="s">
        <v>9</v>
      </c>
      <c r="F4" t="s">
        <v>3</v>
      </c>
      <c r="G4" t="s">
        <v>2</v>
      </c>
      <c r="H4" t="s">
        <v>7</v>
      </c>
      <c r="I4" t="s">
        <v>136</v>
      </c>
      <c r="J4" t="s">
        <v>63</v>
      </c>
    </row>
    <row r="5" spans="2:12" x14ac:dyDescent="0.3">
      <c r="B5" s="13">
        <v>1957</v>
      </c>
      <c r="D5" s="55">
        <f>'US Census All State and Local'!T11</f>
        <v>12834199</v>
      </c>
      <c r="F5" s="55">
        <f>'US Census All State and Local'!AC11/1000</f>
        <v>3307.5859999999998</v>
      </c>
      <c r="G5" s="55">
        <f>'US Census All State and Local'!Z11/1000</f>
        <v>5115.1570000000002</v>
      </c>
      <c r="H5" s="55">
        <f>'US Census All State and Local'!AH11/1000</f>
        <v>3379.9290000000001</v>
      </c>
      <c r="I5" s="55">
        <f>'US Census All State and Local'!AI11/1000</f>
        <v>182.98099999999999</v>
      </c>
      <c r="J5" s="55">
        <f>'US Census All State and Local'!AJ11/1000</f>
        <v>635.68299999999999</v>
      </c>
      <c r="L5" s="55"/>
    </row>
    <row r="6" spans="2:12" x14ac:dyDescent="0.3">
      <c r="B6" s="13">
        <v>1959</v>
      </c>
      <c r="D6" s="55">
        <f>'US Census All State and Local'!T12</f>
        <v>16340465</v>
      </c>
      <c r="F6" s="55">
        <f>'US Census All State and Local'!AC12/1000</f>
        <v>4127.6710000000003</v>
      </c>
      <c r="G6" s="55">
        <f>'US Census All State and Local'!Z12/1000</f>
        <v>5545.2560000000003</v>
      </c>
      <c r="H6" s="55">
        <f>'US Census All State and Local'!AH12/1000</f>
        <v>5003.01</v>
      </c>
      <c r="I6" s="55">
        <f>'US Census All State and Local'!AI12/1000</f>
        <v>301.221</v>
      </c>
      <c r="J6" s="55">
        <f>'US Census All State and Local'!AJ12/1000</f>
        <v>1137.056</v>
      </c>
      <c r="L6" s="55"/>
    </row>
    <row r="7" spans="2:12" x14ac:dyDescent="0.3">
      <c r="B7" s="13">
        <v>1960</v>
      </c>
      <c r="D7" s="55">
        <f>'US Census All State and Local'!T13</f>
        <v>18538618</v>
      </c>
      <c r="F7" s="55">
        <f>'US Census All State and Local'!AC13/1000</f>
        <v>4338.32</v>
      </c>
      <c r="G7" s="55">
        <f>'US Census All State and Local'!Z13/1000</f>
        <v>5954.4350000000004</v>
      </c>
      <c r="H7" s="55">
        <f>'US Census All State and Local'!AH13/1000</f>
        <v>6098.5159999999996</v>
      </c>
      <c r="I7" s="55">
        <f>'US Census All State and Local'!AI13/1000</f>
        <v>393.25</v>
      </c>
      <c r="J7" s="55">
        <f>'US Census All State and Local'!AJ13/1000</f>
        <v>1532.866</v>
      </c>
      <c r="L7" s="55"/>
    </row>
    <row r="8" spans="2:12" x14ac:dyDescent="0.3">
      <c r="B8" s="13">
        <v>1961</v>
      </c>
      <c r="D8" s="55">
        <f>'US Census All State and Local'!T14</f>
        <v>20875229</v>
      </c>
      <c r="F8" s="55">
        <f>'US Census All State and Local'!AC14/1000</f>
        <v>4402.9859999999999</v>
      </c>
      <c r="G8" s="55">
        <f>'US Census All State and Local'!Z14/1000</f>
        <v>5990.2619999999997</v>
      </c>
      <c r="H8" s="55">
        <f>'US Census All State and Local'!AH14/1000</f>
        <v>7467.7389999999996</v>
      </c>
      <c r="I8" s="55">
        <f>'US Census All State and Local'!AI14/1000</f>
        <v>482.7</v>
      </c>
      <c r="J8" s="55">
        <f>'US Census All State and Local'!AJ14/1000</f>
        <v>2263.4949999999999</v>
      </c>
      <c r="L8" s="55"/>
    </row>
    <row r="9" spans="2:12" x14ac:dyDescent="0.3">
      <c r="B9" s="13">
        <v>1962</v>
      </c>
      <c r="D9" s="55">
        <f>'US Census All State and Local'!T15</f>
        <v>23293775</v>
      </c>
      <c r="F9" s="55">
        <f>'US Census All State and Local'!AC15/1000</f>
        <v>4048.252</v>
      </c>
      <c r="G9" s="55">
        <f>'US Census All State and Local'!Z15/1000</f>
        <v>6111.692</v>
      </c>
      <c r="H9" s="55">
        <f>'US Census All State and Local'!AH15/1000</f>
        <v>9523</v>
      </c>
      <c r="I9" s="55">
        <f>'US Census All State and Local'!AI15/1000</f>
        <v>694</v>
      </c>
      <c r="J9" s="55">
        <f>'US Census All State and Local'!AJ15/1000</f>
        <v>2630</v>
      </c>
      <c r="L9" s="55"/>
    </row>
    <row r="10" spans="2:12" x14ac:dyDescent="0.3">
      <c r="B10" s="13">
        <v>1963</v>
      </c>
      <c r="D10" s="55">
        <f>'US Census All State and Local'!T16</f>
        <v>25928555</v>
      </c>
      <c r="F10" s="55">
        <f>'US Census All State and Local'!AC16/1000</f>
        <v>3507.12</v>
      </c>
      <c r="G10" s="55">
        <f>'US Census All State and Local'!Z16/1000</f>
        <v>6507.3419999999996</v>
      </c>
      <c r="H10" s="55">
        <f>'US Census All State and Local'!AH16/1000</f>
        <v>11487.800999999999</v>
      </c>
      <c r="I10" s="55">
        <f>'US Census All State and Local'!AI16/1000</f>
        <v>879.51499999999999</v>
      </c>
      <c r="J10" s="55">
        <f>'US Census All State and Local'!AJ16/1000</f>
        <v>3225.107</v>
      </c>
      <c r="L10" s="55"/>
    </row>
    <row r="11" spans="2:12" x14ac:dyDescent="0.3">
      <c r="B11" s="13">
        <v>1964</v>
      </c>
      <c r="D11" s="55">
        <f>'US Census All State and Local'!T17</f>
        <v>28639091</v>
      </c>
      <c r="F11" s="55">
        <f>'US Census All State and Local'!AC17/1000</f>
        <v>3081.7249999999999</v>
      </c>
      <c r="G11" s="55">
        <f>'US Census All State and Local'!Z17/1000</f>
        <v>6954.3469999999998</v>
      </c>
      <c r="H11" s="55">
        <f>'US Census All State and Local'!AH17/1000</f>
        <v>13346</v>
      </c>
      <c r="I11" s="55">
        <f>'US Census All State and Local'!AI17/1000</f>
        <v>1123</v>
      </c>
      <c r="J11" s="55">
        <f>'US Census All State and Local'!AJ17/1000</f>
        <v>3834</v>
      </c>
      <c r="L11" s="55"/>
    </row>
    <row r="12" spans="2:12" x14ac:dyDescent="0.3">
      <c r="B12" s="13">
        <v>1965</v>
      </c>
      <c r="D12" s="55">
        <f>'US Census All State and Local'!T18</f>
        <v>31813750</v>
      </c>
      <c r="F12" s="55">
        <f>'US Census All State and Local'!AC18/1000</f>
        <v>2744.5149999999999</v>
      </c>
      <c r="G12" s="55">
        <f>'US Census All State and Local'!Z18/1000</f>
        <v>7396.7110000000002</v>
      </c>
      <c r="H12" s="55">
        <f>'US Census All State and Local'!AH18/1000</f>
        <v>15098</v>
      </c>
      <c r="I12" s="55">
        <f>'US Census All State and Local'!AI18/1000</f>
        <v>1422</v>
      </c>
      <c r="J12" s="55">
        <f>'US Census All State and Local'!AJ18/1000</f>
        <v>4830</v>
      </c>
      <c r="L12" s="55"/>
    </row>
    <row r="13" spans="2:12" x14ac:dyDescent="0.3">
      <c r="B13" s="13">
        <v>1966</v>
      </c>
      <c r="D13" s="55">
        <f>'US Census All State and Local'!T19</f>
        <v>35261876</v>
      </c>
      <c r="F13" s="55">
        <f>'US Census All State and Local'!AC19/1000</f>
        <v>2531.6590000000001</v>
      </c>
      <c r="G13" s="55">
        <f>'US Census All State and Local'!Z19/1000</f>
        <v>7046.2569999999996</v>
      </c>
      <c r="H13" s="55">
        <f>'US Census All State and Local'!AH19/1000</f>
        <v>17650</v>
      </c>
      <c r="I13" s="55">
        <f>'US Census All State and Local'!AI19/1000</f>
        <v>1837</v>
      </c>
      <c r="J13" s="55">
        <f>'US Census All State and Local'!AJ19/1000</f>
        <v>5881</v>
      </c>
      <c r="L13" s="55"/>
    </row>
    <row r="14" spans="2:12" x14ac:dyDescent="0.3">
      <c r="B14" s="13">
        <v>1967</v>
      </c>
      <c r="D14" s="55">
        <f>'US Census All State and Local'!T20</f>
        <v>39264507</v>
      </c>
      <c r="F14" s="55">
        <f>'US Census All State and Local'!AC20/1000</f>
        <v>2442.2220000000002</v>
      </c>
      <c r="G14" s="55">
        <f>'US Census All State and Local'!Z20/1000</f>
        <v>6649.643</v>
      </c>
      <c r="H14" s="55">
        <f>'US Census All State and Local'!AH20/1000</f>
        <v>20276</v>
      </c>
      <c r="I14" s="55">
        <f>'US Census All State and Local'!AI20/1000</f>
        <v>2391</v>
      </c>
      <c r="J14" s="55">
        <f>'US Census All State and Local'!AJ20/1000</f>
        <v>7074.1779999999999</v>
      </c>
      <c r="L14" s="55"/>
    </row>
    <row r="15" spans="2:12" x14ac:dyDescent="0.3">
      <c r="B15" s="13">
        <v>1968</v>
      </c>
      <c r="D15" s="55">
        <f>'US Census All State and Local'!T21</f>
        <v>43651849</v>
      </c>
      <c r="F15" s="55">
        <f>'US Census All State and Local'!AC21/1000</f>
        <v>2371.9050000000002</v>
      </c>
      <c r="G15" s="55">
        <f>'US Census All State and Local'!Z21/1000</f>
        <v>6126.6469999999999</v>
      </c>
      <c r="H15" s="55">
        <f>'US Census All State and Local'!AH21/1000</f>
        <v>23316</v>
      </c>
      <c r="I15" s="55">
        <f>'US Census All State and Local'!AI21/1000</f>
        <v>3311</v>
      </c>
      <c r="J15" s="55">
        <f>'US Census All State and Local'!AJ21/1000</f>
        <v>8055</v>
      </c>
      <c r="L15" s="55"/>
    </row>
    <row r="16" spans="2:12" x14ac:dyDescent="0.3">
      <c r="B16" s="13">
        <v>1969</v>
      </c>
      <c r="D16" s="55">
        <f>'US Census All State and Local'!T22</f>
        <v>48873326</v>
      </c>
      <c r="F16" s="55">
        <f>'US Census All State and Local'!AC22/1000</f>
        <v>2368.1570000000002</v>
      </c>
      <c r="G16" s="55">
        <f>'US Census All State and Local'!Z22/1000</f>
        <v>5815.0150000000003</v>
      </c>
      <c r="H16" s="55">
        <f>'US Census All State and Local'!AH22/1000</f>
        <v>26718</v>
      </c>
      <c r="I16" s="55">
        <f>'US Census All State and Local'!AI22/1000</f>
        <v>4921</v>
      </c>
      <c r="J16" s="55">
        <f>'US Census All State and Local'!AJ22/1000</f>
        <v>8594</v>
      </c>
      <c r="L16" s="55"/>
    </row>
    <row r="17" spans="2:12" x14ac:dyDescent="0.3">
      <c r="B17" s="13">
        <v>1970</v>
      </c>
      <c r="D17" s="55">
        <f>'US Census All State and Local'!T23</f>
        <v>54917541</v>
      </c>
      <c r="F17" s="55">
        <f>'US Census All State and Local'!AC23/1000</f>
        <v>2158.9839999999999</v>
      </c>
      <c r="G17" s="55">
        <f>'US Census All State and Local'!Z23/1000</f>
        <v>5178.95</v>
      </c>
      <c r="H17" s="55">
        <f>'US Census All State and Local'!AH23/1000</f>
        <v>30132</v>
      </c>
      <c r="I17" s="55">
        <f>'US Census All State and Local'!AI23/1000</f>
        <v>6912</v>
      </c>
      <c r="J17" s="55">
        <f>'US Census All State and Local'!AJ23/1000</f>
        <v>10020</v>
      </c>
      <c r="L17" s="55"/>
    </row>
    <row r="18" spans="2:12" x14ac:dyDescent="0.3">
      <c r="B18" s="13">
        <v>1971</v>
      </c>
      <c r="D18" s="55">
        <f>'US Census All State and Local'!T24</f>
        <v>61602941</v>
      </c>
      <c r="F18" s="55">
        <f>'US Census All State and Local'!AC24/1000</f>
        <v>2042.422</v>
      </c>
      <c r="G18" s="55">
        <f>'US Census All State and Local'!Z24/1000</f>
        <v>4462.058</v>
      </c>
      <c r="H18" s="55">
        <f>'US Census All State and Local'!AH24/1000</f>
        <v>34641</v>
      </c>
      <c r="I18" s="55">
        <f>'US Census All State and Local'!AI24/1000</f>
        <v>9469</v>
      </c>
      <c r="J18" s="55">
        <f>'US Census All State and Local'!AJ24/1000</f>
        <v>10395</v>
      </c>
      <c r="L18" s="55"/>
    </row>
    <row r="19" spans="2:12" x14ac:dyDescent="0.3">
      <c r="B19" s="13">
        <v>1972</v>
      </c>
      <c r="D19" s="55">
        <f>'US Census All State and Local'!T25</f>
        <v>68760252</v>
      </c>
      <c r="F19" s="55">
        <f>'US Census All State and Local'!AC25/1000</f>
        <v>2421.5639999999999</v>
      </c>
      <c r="G19" s="55">
        <f>'US Census All State and Local'!Z25/1000</f>
        <v>3720.848</v>
      </c>
      <c r="H19" s="55">
        <f>'US Census All State and Local'!AH25/1000</f>
        <v>37915</v>
      </c>
      <c r="I19" s="55">
        <f>'US Census All State and Local'!AI25/1000</f>
        <v>12616</v>
      </c>
      <c r="J19" s="55">
        <f>'US Census All State and Local'!AJ25/1000</f>
        <v>11296.151</v>
      </c>
      <c r="L19" s="55"/>
    </row>
    <row r="20" spans="2:12" x14ac:dyDescent="0.3">
      <c r="B20" s="13">
        <v>1973</v>
      </c>
      <c r="D20" s="55">
        <f>'US Census All State and Local'!T26</f>
        <v>78417391</v>
      </c>
      <c r="F20" s="55">
        <f>'US Census All State and Local'!AC26/1000</f>
        <v>1526.202</v>
      </c>
      <c r="G20" s="55">
        <f>'US Census All State and Local'!Z26/1000</f>
        <v>3458.5839999999998</v>
      </c>
      <c r="H20" s="55">
        <f>'US Census All State and Local'!AH26/1000</f>
        <v>43333</v>
      </c>
      <c r="I20" s="55">
        <f>'US Census All State and Local'!AI26/1000</f>
        <v>17063</v>
      </c>
      <c r="J20" s="55">
        <f>'US Census All State and Local'!AJ26/1000</f>
        <v>11945</v>
      </c>
      <c r="L20" s="55"/>
    </row>
    <row r="21" spans="2:12" x14ac:dyDescent="0.3">
      <c r="B21" s="13">
        <v>1974</v>
      </c>
      <c r="D21" s="55">
        <f>'US Census All State and Local'!T27</f>
        <v>87487565</v>
      </c>
      <c r="F21" s="55">
        <f>'US Census All State and Local'!AC27/1000</f>
        <v>1444.248</v>
      </c>
      <c r="G21" s="55">
        <f>'US Census All State and Local'!Z27/1000</f>
        <v>5326.5519999999997</v>
      </c>
      <c r="H21" s="55">
        <f>'US Census All State and Local'!AH27/1000</f>
        <v>47363</v>
      </c>
      <c r="I21" s="55">
        <f>'US Census All State and Local'!AI27/1000</f>
        <v>19560</v>
      </c>
      <c r="J21" s="55">
        <f>('US Census All State and Local'!AJ27+'US Census All State and Local'!AP27)/1000</f>
        <v>12305</v>
      </c>
      <c r="L21" s="55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C79F78-EE5B-4B85-8399-31B0B9C17E78}">
  <dimension ref="A1:I69"/>
  <sheetViews>
    <sheetView zoomScale="74" workbookViewId="0">
      <selection activeCell="A9" sqref="A9"/>
    </sheetView>
  </sheetViews>
  <sheetFormatPr defaultColWidth="8.77734375" defaultRowHeight="14.4" x14ac:dyDescent="0.3"/>
  <sheetData>
    <row r="1" spans="1:9" x14ac:dyDescent="0.3">
      <c r="A1" s="60" t="s">
        <v>141</v>
      </c>
    </row>
    <row r="3" spans="1:9" x14ac:dyDescent="0.3">
      <c r="B3" t="s">
        <v>108</v>
      </c>
      <c r="C3" t="s">
        <v>137</v>
      </c>
      <c r="D3" t="s">
        <v>138</v>
      </c>
      <c r="F3" t="s">
        <v>139</v>
      </c>
      <c r="G3" t="s">
        <v>140</v>
      </c>
    </row>
    <row r="4" spans="1:9" x14ac:dyDescent="0.3">
      <c r="B4">
        <v>1900</v>
      </c>
      <c r="C4">
        <v>98</v>
      </c>
      <c r="D4" s="3">
        <f t="shared" ref="D4:D67" si="0">100/C4*100</f>
        <v>102.04081632653062</v>
      </c>
      <c r="F4">
        <v>6</v>
      </c>
      <c r="G4">
        <f>F4*-1</f>
        <v>-6</v>
      </c>
      <c r="I4">
        <f>C4/100</f>
        <v>0.98</v>
      </c>
    </row>
    <row r="5" spans="1:9" x14ac:dyDescent="0.3">
      <c r="B5">
        <v>1901</v>
      </c>
      <c r="C5">
        <v>94</v>
      </c>
      <c r="D5" s="3">
        <f t="shared" si="0"/>
        <v>106.38297872340425</v>
      </c>
      <c r="F5">
        <v>18</v>
      </c>
      <c r="G5">
        <f t="shared" ref="G5:G68" si="1">F5*-1</f>
        <v>-18</v>
      </c>
      <c r="I5">
        <f t="shared" ref="I5:I68" si="2">C5/100</f>
        <v>0.94</v>
      </c>
    </row>
    <row r="6" spans="1:9" x14ac:dyDescent="0.3">
      <c r="B6">
        <v>1902</v>
      </c>
      <c r="C6">
        <v>95</v>
      </c>
      <c r="D6" s="3">
        <f t="shared" si="0"/>
        <v>105.26315789473684</v>
      </c>
      <c r="F6">
        <v>16</v>
      </c>
      <c r="G6">
        <f t="shared" si="1"/>
        <v>-16</v>
      </c>
      <c r="I6">
        <f t="shared" si="2"/>
        <v>0.95</v>
      </c>
    </row>
    <row r="7" spans="1:9" x14ac:dyDescent="0.3">
      <c r="B7">
        <v>1903</v>
      </c>
      <c r="C7">
        <v>93</v>
      </c>
      <c r="D7" s="3">
        <f t="shared" si="0"/>
        <v>107.5268817204301</v>
      </c>
      <c r="F7">
        <v>25</v>
      </c>
      <c r="G7">
        <f t="shared" si="1"/>
        <v>-25</v>
      </c>
      <c r="I7">
        <f t="shared" si="2"/>
        <v>0.93</v>
      </c>
    </row>
    <row r="8" spans="1:9" x14ac:dyDescent="0.3">
      <c r="B8">
        <v>1904</v>
      </c>
      <c r="C8">
        <v>95</v>
      </c>
      <c r="D8" s="3">
        <f t="shared" si="0"/>
        <v>105.26315789473684</v>
      </c>
      <c r="F8">
        <v>17</v>
      </c>
      <c r="G8">
        <f t="shared" si="1"/>
        <v>-17</v>
      </c>
      <c r="I8">
        <f t="shared" si="2"/>
        <v>0.95</v>
      </c>
    </row>
    <row r="9" spans="1:9" x14ac:dyDescent="0.3">
      <c r="B9">
        <v>1905</v>
      </c>
      <c r="C9">
        <v>99</v>
      </c>
      <c r="D9" s="3">
        <f t="shared" si="0"/>
        <v>101.01010101010101</v>
      </c>
      <c r="F9">
        <v>3</v>
      </c>
      <c r="G9">
        <f t="shared" si="1"/>
        <v>-3</v>
      </c>
      <c r="I9">
        <f t="shared" si="2"/>
        <v>0.99</v>
      </c>
    </row>
    <row r="10" spans="1:9" x14ac:dyDescent="0.3">
      <c r="B10">
        <v>1906</v>
      </c>
      <c r="C10">
        <v>94</v>
      </c>
      <c r="D10" s="3">
        <f t="shared" si="0"/>
        <v>106.38297872340425</v>
      </c>
      <c r="F10">
        <v>22</v>
      </c>
      <c r="G10">
        <f t="shared" si="1"/>
        <v>-22</v>
      </c>
      <c r="I10">
        <f t="shared" si="2"/>
        <v>0.94</v>
      </c>
    </row>
    <row r="11" spans="1:9" x14ac:dyDescent="0.3">
      <c r="B11">
        <v>1907</v>
      </c>
      <c r="C11">
        <v>93</v>
      </c>
      <c r="D11" s="3">
        <f t="shared" si="0"/>
        <v>107.5268817204301</v>
      </c>
      <c r="F11">
        <v>25</v>
      </c>
      <c r="G11">
        <f t="shared" si="1"/>
        <v>-25</v>
      </c>
      <c r="I11">
        <f t="shared" si="2"/>
        <v>0.93</v>
      </c>
    </row>
    <row r="12" spans="1:9" x14ac:dyDescent="0.3">
      <c r="B12">
        <v>1908</v>
      </c>
      <c r="C12">
        <v>99</v>
      </c>
      <c r="D12" s="3">
        <f t="shared" si="0"/>
        <v>101.01010101010101</v>
      </c>
      <c r="F12">
        <v>3</v>
      </c>
      <c r="G12">
        <f t="shared" si="1"/>
        <v>-3</v>
      </c>
      <c r="I12">
        <f t="shared" si="2"/>
        <v>0.99</v>
      </c>
    </row>
    <row r="13" spans="1:9" x14ac:dyDescent="0.3">
      <c r="B13">
        <v>1909</v>
      </c>
      <c r="C13">
        <v>99</v>
      </c>
      <c r="D13" s="3">
        <f t="shared" si="0"/>
        <v>101.01010101010101</v>
      </c>
      <c r="F13">
        <v>2</v>
      </c>
      <c r="G13">
        <f t="shared" si="1"/>
        <v>-2</v>
      </c>
      <c r="I13">
        <f t="shared" si="2"/>
        <v>0.99</v>
      </c>
    </row>
    <row r="14" spans="1:9" x14ac:dyDescent="0.3">
      <c r="B14">
        <v>1910</v>
      </c>
      <c r="C14">
        <v>101</v>
      </c>
      <c r="D14" s="3">
        <f t="shared" si="0"/>
        <v>99.009900990099013</v>
      </c>
      <c r="F14">
        <v>-4</v>
      </c>
      <c r="G14">
        <f t="shared" si="1"/>
        <v>4</v>
      </c>
      <c r="I14">
        <f t="shared" si="2"/>
        <v>1.01</v>
      </c>
    </row>
    <row r="15" spans="1:9" x14ac:dyDescent="0.3">
      <c r="B15">
        <v>1911</v>
      </c>
      <c r="C15">
        <v>101</v>
      </c>
      <c r="D15" s="3">
        <f t="shared" si="0"/>
        <v>99.009900990099013</v>
      </c>
      <c r="F15">
        <v>-5</v>
      </c>
      <c r="G15">
        <f t="shared" si="1"/>
        <v>5</v>
      </c>
      <c r="I15">
        <f t="shared" si="2"/>
        <v>1.01</v>
      </c>
    </row>
    <row r="16" spans="1:9" x14ac:dyDescent="0.3">
      <c r="B16">
        <v>1912</v>
      </c>
      <c r="C16">
        <v>102</v>
      </c>
      <c r="D16" s="3">
        <f t="shared" si="0"/>
        <v>98.039215686274503</v>
      </c>
      <c r="F16">
        <v>-6</v>
      </c>
      <c r="G16">
        <f t="shared" si="1"/>
        <v>6</v>
      </c>
      <c r="I16">
        <f t="shared" si="2"/>
        <v>1.02</v>
      </c>
    </row>
    <row r="17" spans="2:9" x14ac:dyDescent="0.3">
      <c r="B17">
        <v>1913</v>
      </c>
      <c r="C17">
        <v>108</v>
      </c>
      <c r="D17" s="3">
        <f t="shared" si="0"/>
        <v>92.592592592592595</v>
      </c>
      <c r="F17">
        <v>-31</v>
      </c>
      <c r="G17">
        <f t="shared" si="1"/>
        <v>31</v>
      </c>
      <c r="I17">
        <f t="shared" si="2"/>
        <v>1.08</v>
      </c>
    </row>
    <row r="18" spans="2:9" x14ac:dyDescent="0.3">
      <c r="B18">
        <v>1914</v>
      </c>
      <c r="C18">
        <v>102</v>
      </c>
      <c r="D18" s="3">
        <f t="shared" si="0"/>
        <v>98.039215686274503</v>
      </c>
      <c r="F18">
        <v>-5</v>
      </c>
      <c r="G18">
        <f t="shared" si="1"/>
        <v>5</v>
      </c>
      <c r="I18">
        <f t="shared" si="2"/>
        <v>1.02</v>
      </c>
    </row>
    <row r="19" spans="2:9" x14ac:dyDescent="0.3">
      <c r="B19">
        <v>1915</v>
      </c>
      <c r="C19">
        <v>102</v>
      </c>
      <c r="D19" s="3">
        <f t="shared" si="0"/>
        <v>98.039215686274503</v>
      </c>
      <c r="F19">
        <v>-6</v>
      </c>
      <c r="G19">
        <f t="shared" si="1"/>
        <v>6</v>
      </c>
      <c r="I19">
        <f t="shared" si="2"/>
        <v>1.02</v>
      </c>
    </row>
    <row r="20" spans="2:9" x14ac:dyDescent="0.3">
      <c r="B20">
        <v>1916</v>
      </c>
      <c r="C20">
        <v>99</v>
      </c>
      <c r="D20" s="3">
        <f t="shared" si="0"/>
        <v>101.01010101010101</v>
      </c>
      <c r="F20">
        <v>5</v>
      </c>
      <c r="G20">
        <f t="shared" si="1"/>
        <v>-5</v>
      </c>
      <c r="I20">
        <f t="shared" si="2"/>
        <v>0.99</v>
      </c>
    </row>
    <row r="21" spans="2:9" x14ac:dyDescent="0.3">
      <c r="B21">
        <v>1917</v>
      </c>
      <c r="C21">
        <v>96</v>
      </c>
      <c r="D21" s="3">
        <f t="shared" si="0"/>
        <v>104.16666666666667</v>
      </c>
      <c r="F21">
        <v>18</v>
      </c>
      <c r="G21">
        <f t="shared" si="1"/>
        <v>-18</v>
      </c>
      <c r="I21">
        <f t="shared" si="2"/>
        <v>0.96</v>
      </c>
    </row>
    <row r="22" spans="2:9" x14ac:dyDescent="0.3">
      <c r="B22">
        <v>1918</v>
      </c>
      <c r="C22">
        <v>95</v>
      </c>
      <c r="D22" s="3">
        <f t="shared" si="0"/>
        <v>105.26315789473684</v>
      </c>
      <c r="F22">
        <v>25</v>
      </c>
      <c r="G22">
        <f t="shared" si="1"/>
        <v>-25</v>
      </c>
      <c r="I22">
        <f t="shared" si="2"/>
        <v>0.95</v>
      </c>
    </row>
    <row r="23" spans="2:9" x14ac:dyDescent="0.3">
      <c r="B23">
        <v>1919</v>
      </c>
      <c r="C23">
        <v>93</v>
      </c>
      <c r="D23" s="3">
        <f t="shared" si="0"/>
        <v>107.5268817204301</v>
      </c>
      <c r="F23">
        <v>34</v>
      </c>
      <c r="G23">
        <f t="shared" si="1"/>
        <v>-34</v>
      </c>
      <c r="I23">
        <f t="shared" si="2"/>
        <v>0.93</v>
      </c>
    </row>
    <row r="24" spans="2:9" x14ac:dyDescent="0.3">
      <c r="B24">
        <v>1920</v>
      </c>
      <c r="C24">
        <v>91</v>
      </c>
      <c r="D24" s="3">
        <f t="shared" si="0"/>
        <v>109.8901098901099</v>
      </c>
      <c r="F24">
        <v>47</v>
      </c>
      <c r="G24">
        <f t="shared" si="1"/>
        <v>-47</v>
      </c>
      <c r="I24">
        <f t="shared" si="2"/>
        <v>0.91</v>
      </c>
    </row>
    <row r="25" spans="2:9" x14ac:dyDescent="0.3">
      <c r="B25">
        <v>1921</v>
      </c>
      <c r="C25">
        <v>94</v>
      </c>
      <c r="D25" s="3">
        <f t="shared" si="0"/>
        <v>106.38297872340425</v>
      </c>
      <c r="F25">
        <v>31</v>
      </c>
      <c r="G25">
        <f t="shared" si="1"/>
        <v>-31</v>
      </c>
      <c r="I25">
        <f t="shared" si="2"/>
        <v>0.94</v>
      </c>
    </row>
    <row r="26" spans="2:9" x14ac:dyDescent="0.3">
      <c r="B26">
        <v>1922</v>
      </c>
      <c r="C26">
        <v>91</v>
      </c>
      <c r="D26" s="3">
        <f t="shared" si="0"/>
        <v>109.8901098901099</v>
      </c>
      <c r="F26">
        <v>44</v>
      </c>
      <c r="G26">
        <f t="shared" si="1"/>
        <v>-44</v>
      </c>
      <c r="I26">
        <f t="shared" si="2"/>
        <v>0.91</v>
      </c>
    </row>
    <row r="27" spans="2:9" x14ac:dyDescent="0.3">
      <c r="B27">
        <v>1923</v>
      </c>
      <c r="C27">
        <v>88</v>
      </c>
      <c r="D27" s="3">
        <f t="shared" si="0"/>
        <v>113.63636363636364</v>
      </c>
      <c r="F27">
        <v>53</v>
      </c>
      <c r="G27">
        <f t="shared" si="1"/>
        <v>-53</v>
      </c>
      <c r="I27">
        <f t="shared" si="2"/>
        <v>0.88</v>
      </c>
    </row>
    <row r="28" spans="2:9" x14ac:dyDescent="0.3">
      <c r="B28">
        <v>1924</v>
      </c>
      <c r="C28">
        <v>87</v>
      </c>
      <c r="D28" s="3">
        <f t="shared" si="0"/>
        <v>114.94252873563218</v>
      </c>
      <c r="F28">
        <v>59</v>
      </c>
      <c r="G28">
        <f t="shared" si="1"/>
        <v>-59</v>
      </c>
      <c r="I28">
        <f t="shared" si="2"/>
        <v>0.87</v>
      </c>
    </row>
    <row r="29" spans="2:9" x14ac:dyDescent="0.3">
      <c r="B29">
        <v>1925</v>
      </c>
      <c r="C29">
        <v>87</v>
      </c>
      <c r="D29" s="3">
        <f t="shared" si="0"/>
        <v>114.94252873563218</v>
      </c>
      <c r="F29">
        <v>60</v>
      </c>
      <c r="G29">
        <f t="shared" si="1"/>
        <v>-60</v>
      </c>
      <c r="I29">
        <f t="shared" si="2"/>
        <v>0.87</v>
      </c>
    </row>
    <row r="30" spans="2:9" x14ac:dyDescent="0.3">
      <c r="B30">
        <v>1926</v>
      </c>
      <c r="C30">
        <v>91</v>
      </c>
      <c r="D30" s="3">
        <f t="shared" si="0"/>
        <v>109.8901098901099</v>
      </c>
      <c r="F30">
        <v>41</v>
      </c>
      <c r="G30">
        <f t="shared" si="1"/>
        <v>-41</v>
      </c>
      <c r="I30">
        <f t="shared" si="2"/>
        <v>0.91</v>
      </c>
    </row>
    <row r="31" spans="2:9" x14ac:dyDescent="0.3">
      <c r="B31">
        <v>1927</v>
      </c>
      <c r="C31">
        <v>92</v>
      </c>
      <c r="D31" s="3">
        <f t="shared" si="0"/>
        <v>108.69565217391303</v>
      </c>
      <c r="F31">
        <v>33</v>
      </c>
      <c r="G31">
        <f t="shared" si="1"/>
        <v>-33</v>
      </c>
      <c r="I31">
        <f t="shared" si="2"/>
        <v>0.92</v>
      </c>
    </row>
    <row r="32" spans="2:9" x14ac:dyDescent="0.3">
      <c r="B32">
        <v>1928</v>
      </c>
      <c r="C32">
        <v>91</v>
      </c>
      <c r="D32" s="3">
        <f t="shared" si="0"/>
        <v>109.8901098901099</v>
      </c>
      <c r="F32">
        <v>39</v>
      </c>
      <c r="G32">
        <f t="shared" si="1"/>
        <v>-39</v>
      </c>
      <c r="I32">
        <f t="shared" si="2"/>
        <v>0.91</v>
      </c>
    </row>
    <row r="33" spans="2:9" x14ac:dyDescent="0.3">
      <c r="B33">
        <v>1929</v>
      </c>
      <c r="C33">
        <v>90</v>
      </c>
      <c r="D33" s="3">
        <f t="shared" si="0"/>
        <v>111.11111111111111</v>
      </c>
      <c r="F33">
        <v>45</v>
      </c>
      <c r="G33">
        <f t="shared" si="1"/>
        <v>-45</v>
      </c>
      <c r="I33">
        <f t="shared" si="2"/>
        <v>0.9</v>
      </c>
    </row>
    <row r="34" spans="2:9" x14ac:dyDescent="0.3">
      <c r="B34">
        <v>1930</v>
      </c>
      <c r="C34">
        <v>90</v>
      </c>
      <c r="D34" s="3">
        <f t="shared" si="0"/>
        <v>111.11111111111111</v>
      </c>
      <c r="F34">
        <v>44</v>
      </c>
      <c r="G34">
        <f t="shared" si="1"/>
        <v>-44</v>
      </c>
      <c r="I34">
        <f t="shared" si="2"/>
        <v>0.9</v>
      </c>
    </row>
    <row r="35" spans="2:9" x14ac:dyDescent="0.3">
      <c r="B35">
        <v>1931</v>
      </c>
      <c r="C35">
        <v>85</v>
      </c>
      <c r="D35" s="3">
        <f t="shared" si="0"/>
        <v>117.64705882352942</v>
      </c>
      <c r="F35">
        <v>62</v>
      </c>
      <c r="G35">
        <f t="shared" si="1"/>
        <v>-62</v>
      </c>
      <c r="I35">
        <f t="shared" si="2"/>
        <v>0.85</v>
      </c>
    </row>
    <row r="36" spans="2:9" x14ac:dyDescent="0.3">
      <c r="B36">
        <v>1932</v>
      </c>
      <c r="C36">
        <v>78</v>
      </c>
      <c r="D36" s="3">
        <f t="shared" si="0"/>
        <v>128.2051282051282</v>
      </c>
      <c r="F36">
        <v>106</v>
      </c>
      <c r="G36">
        <f t="shared" si="1"/>
        <v>-106</v>
      </c>
      <c r="I36">
        <f t="shared" si="2"/>
        <v>0.78</v>
      </c>
    </row>
    <row r="37" spans="2:9" x14ac:dyDescent="0.3">
      <c r="B37">
        <v>1933</v>
      </c>
      <c r="C37">
        <v>82</v>
      </c>
      <c r="D37" s="3">
        <f t="shared" si="0"/>
        <v>121.95121951219512</v>
      </c>
      <c r="F37">
        <v>74</v>
      </c>
      <c r="G37">
        <f t="shared" si="1"/>
        <v>-74</v>
      </c>
      <c r="I37">
        <f t="shared" si="2"/>
        <v>0.82</v>
      </c>
    </row>
    <row r="38" spans="2:9" x14ac:dyDescent="0.3">
      <c r="B38">
        <v>1934</v>
      </c>
      <c r="C38">
        <v>87</v>
      </c>
      <c r="D38" s="3">
        <f t="shared" si="0"/>
        <v>114.94252873563218</v>
      </c>
      <c r="F38">
        <v>46</v>
      </c>
      <c r="G38">
        <f t="shared" si="1"/>
        <v>-46</v>
      </c>
      <c r="I38">
        <f t="shared" si="2"/>
        <v>0.87</v>
      </c>
    </row>
    <row r="39" spans="2:9" x14ac:dyDescent="0.3">
      <c r="B39">
        <v>1935</v>
      </c>
      <c r="C39">
        <v>81</v>
      </c>
      <c r="D39" s="3">
        <f t="shared" si="0"/>
        <v>123.45679012345678</v>
      </c>
      <c r="F39">
        <v>76</v>
      </c>
      <c r="G39">
        <f t="shared" si="1"/>
        <v>-76</v>
      </c>
      <c r="I39">
        <f t="shared" si="2"/>
        <v>0.81</v>
      </c>
    </row>
    <row r="40" spans="2:9" x14ac:dyDescent="0.3">
      <c r="B40">
        <v>1936</v>
      </c>
      <c r="C40">
        <v>78</v>
      </c>
      <c r="D40" s="3">
        <f t="shared" si="0"/>
        <v>128.2051282051282</v>
      </c>
      <c r="F40">
        <v>66</v>
      </c>
      <c r="G40">
        <f t="shared" si="1"/>
        <v>-66</v>
      </c>
      <c r="I40">
        <f t="shared" si="2"/>
        <v>0.78</v>
      </c>
    </row>
    <row r="41" spans="2:9" x14ac:dyDescent="0.3">
      <c r="B41">
        <v>1937</v>
      </c>
      <c r="C41">
        <v>86</v>
      </c>
      <c r="D41" s="3">
        <f t="shared" si="0"/>
        <v>116.27906976744187</v>
      </c>
      <c r="F41">
        <v>44</v>
      </c>
      <c r="G41">
        <f t="shared" si="1"/>
        <v>-44</v>
      </c>
      <c r="I41">
        <f t="shared" si="2"/>
        <v>0.86</v>
      </c>
    </row>
    <row r="42" spans="2:9" x14ac:dyDescent="0.3">
      <c r="B42">
        <v>1938</v>
      </c>
      <c r="C42">
        <v>84</v>
      </c>
      <c r="D42" s="3">
        <f t="shared" si="0"/>
        <v>119.04761904761905</v>
      </c>
      <c r="F42">
        <v>45</v>
      </c>
      <c r="G42">
        <f t="shared" si="1"/>
        <v>-45</v>
      </c>
      <c r="I42">
        <f t="shared" si="2"/>
        <v>0.84</v>
      </c>
    </row>
    <row r="43" spans="2:9" x14ac:dyDescent="0.3">
      <c r="B43">
        <v>1939</v>
      </c>
      <c r="C43">
        <v>70</v>
      </c>
      <c r="D43" s="3">
        <f t="shared" si="0"/>
        <v>142.85714285714286</v>
      </c>
      <c r="F43">
        <v>85</v>
      </c>
      <c r="G43">
        <f t="shared" si="1"/>
        <v>-85</v>
      </c>
      <c r="I43">
        <f t="shared" si="2"/>
        <v>0.7</v>
      </c>
    </row>
    <row r="44" spans="2:9" x14ac:dyDescent="0.3">
      <c r="B44">
        <v>1940</v>
      </c>
      <c r="C44">
        <v>67</v>
      </c>
      <c r="D44" s="3">
        <f t="shared" si="0"/>
        <v>149.25373134328359</v>
      </c>
      <c r="F44">
        <v>90</v>
      </c>
      <c r="G44">
        <f t="shared" si="1"/>
        <v>-90</v>
      </c>
      <c r="I44">
        <f t="shared" si="2"/>
        <v>0.67</v>
      </c>
    </row>
    <row r="45" spans="2:9" x14ac:dyDescent="0.3">
      <c r="B45">
        <v>1941</v>
      </c>
      <c r="C45">
        <v>62</v>
      </c>
      <c r="D45" s="3">
        <f t="shared" si="0"/>
        <v>161.29032258064515</v>
      </c>
      <c r="F45">
        <v>99</v>
      </c>
      <c r="G45">
        <f t="shared" si="1"/>
        <v>-99</v>
      </c>
      <c r="I45">
        <f t="shared" si="2"/>
        <v>0.62</v>
      </c>
    </row>
    <row r="46" spans="2:9" x14ac:dyDescent="0.3">
      <c r="B46">
        <v>1942</v>
      </c>
      <c r="C46">
        <v>68</v>
      </c>
      <c r="D46" s="3">
        <f t="shared" si="0"/>
        <v>147.05882352941177</v>
      </c>
      <c r="F46">
        <v>84</v>
      </c>
      <c r="G46">
        <f t="shared" si="1"/>
        <v>-84</v>
      </c>
      <c r="I46">
        <f t="shared" si="2"/>
        <v>0.68</v>
      </c>
    </row>
    <row r="47" spans="2:9" x14ac:dyDescent="0.3">
      <c r="B47">
        <v>1943</v>
      </c>
      <c r="C47">
        <v>58</v>
      </c>
      <c r="D47" s="3">
        <f t="shared" si="0"/>
        <v>172.41379310344826</v>
      </c>
      <c r="F47">
        <v>108</v>
      </c>
      <c r="G47">
        <f t="shared" si="1"/>
        <v>-108</v>
      </c>
      <c r="I47">
        <f t="shared" si="2"/>
        <v>0.57999999999999996</v>
      </c>
    </row>
    <row r="48" spans="2:9" x14ac:dyDescent="0.3">
      <c r="B48">
        <v>1944</v>
      </c>
      <c r="C48">
        <v>45</v>
      </c>
      <c r="D48" s="3">
        <f t="shared" si="0"/>
        <v>222.22222222222223</v>
      </c>
      <c r="F48">
        <v>139</v>
      </c>
      <c r="G48">
        <f t="shared" si="1"/>
        <v>-139</v>
      </c>
      <c r="I48">
        <f t="shared" si="2"/>
        <v>0.45</v>
      </c>
    </row>
    <row r="49" spans="2:9" x14ac:dyDescent="0.3">
      <c r="B49">
        <v>1945</v>
      </c>
      <c r="C49">
        <v>41</v>
      </c>
      <c r="D49" s="3">
        <f t="shared" si="0"/>
        <v>243.90243902439025</v>
      </c>
      <c r="F49">
        <v>149</v>
      </c>
      <c r="G49">
        <f t="shared" si="1"/>
        <v>-149</v>
      </c>
      <c r="I49">
        <f t="shared" si="2"/>
        <v>0.41</v>
      </c>
    </row>
    <row r="50" spans="2:9" x14ac:dyDescent="0.3">
      <c r="B50">
        <v>1946</v>
      </c>
      <c r="C50">
        <v>46</v>
      </c>
      <c r="D50" s="3">
        <f t="shared" si="0"/>
        <v>217.39130434782606</v>
      </c>
      <c r="F50">
        <v>133</v>
      </c>
      <c r="G50">
        <f t="shared" si="1"/>
        <v>-133</v>
      </c>
      <c r="I50">
        <f t="shared" si="2"/>
        <v>0.46</v>
      </c>
    </row>
    <row r="51" spans="2:9" x14ac:dyDescent="0.3">
      <c r="B51">
        <v>1947</v>
      </c>
      <c r="C51">
        <v>57</v>
      </c>
      <c r="D51" s="3">
        <f t="shared" si="0"/>
        <v>175.43859649122805</v>
      </c>
      <c r="F51">
        <v>111</v>
      </c>
      <c r="G51">
        <f t="shared" si="1"/>
        <v>-111</v>
      </c>
      <c r="I51">
        <f t="shared" si="2"/>
        <v>0.56999999999999995</v>
      </c>
    </row>
    <row r="52" spans="2:9" x14ac:dyDescent="0.3">
      <c r="B52">
        <v>1948</v>
      </c>
      <c r="C52">
        <v>68</v>
      </c>
      <c r="D52" s="3">
        <f t="shared" si="0"/>
        <v>147.05882352941177</v>
      </c>
      <c r="F52">
        <v>91</v>
      </c>
      <c r="G52">
        <f t="shared" si="1"/>
        <v>-91</v>
      </c>
      <c r="I52">
        <f t="shared" si="2"/>
        <v>0.68</v>
      </c>
    </row>
    <row r="53" spans="2:9" x14ac:dyDescent="0.3">
      <c r="B53">
        <v>1949</v>
      </c>
      <c r="C53">
        <v>61</v>
      </c>
      <c r="D53" s="3">
        <f t="shared" si="0"/>
        <v>163.9344262295082</v>
      </c>
      <c r="F53">
        <v>103</v>
      </c>
      <c r="G53">
        <f t="shared" si="1"/>
        <v>-103</v>
      </c>
      <c r="I53">
        <f t="shared" si="2"/>
        <v>0.61</v>
      </c>
    </row>
    <row r="54" spans="2:9" x14ac:dyDescent="0.3">
      <c r="B54">
        <v>1950</v>
      </c>
      <c r="C54">
        <v>58</v>
      </c>
      <c r="D54" s="3">
        <f t="shared" si="0"/>
        <v>172.41379310344826</v>
      </c>
      <c r="F54">
        <v>110</v>
      </c>
      <c r="G54">
        <f t="shared" si="1"/>
        <v>-110</v>
      </c>
      <c r="I54">
        <f t="shared" si="2"/>
        <v>0.57999999999999996</v>
      </c>
    </row>
    <row r="55" spans="2:9" x14ac:dyDescent="0.3">
      <c r="B55">
        <v>1951</v>
      </c>
      <c r="C55">
        <v>62</v>
      </c>
      <c r="D55" s="3">
        <f t="shared" si="0"/>
        <v>161.29032258064515</v>
      </c>
      <c r="F55">
        <v>111</v>
      </c>
      <c r="G55">
        <f t="shared" si="1"/>
        <v>-111</v>
      </c>
      <c r="I55">
        <f t="shared" si="2"/>
        <v>0.62</v>
      </c>
    </row>
    <row r="56" spans="2:9" x14ac:dyDescent="0.3">
      <c r="B56">
        <v>1952</v>
      </c>
      <c r="C56">
        <v>67</v>
      </c>
      <c r="D56" s="3">
        <f t="shared" si="0"/>
        <v>149.25373134328359</v>
      </c>
      <c r="F56">
        <v>101</v>
      </c>
      <c r="G56">
        <f t="shared" si="1"/>
        <v>-101</v>
      </c>
      <c r="I56">
        <f t="shared" si="2"/>
        <v>0.67</v>
      </c>
    </row>
    <row r="57" spans="2:9" x14ac:dyDescent="0.3">
      <c r="B57">
        <v>1953</v>
      </c>
      <c r="C57">
        <v>75</v>
      </c>
      <c r="D57" s="3">
        <f t="shared" si="0"/>
        <v>133.33333333333331</v>
      </c>
      <c r="F57">
        <v>82</v>
      </c>
      <c r="G57">
        <f t="shared" si="1"/>
        <v>-82</v>
      </c>
      <c r="I57">
        <f t="shared" si="2"/>
        <v>0.75</v>
      </c>
    </row>
    <row r="58" spans="2:9" x14ac:dyDescent="0.3">
      <c r="B58">
        <v>1954</v>
      </c>
      <c r="C58">
        <v>79</v>
      </c>
      <c r="D58" s="3">
        <f t="shared" si="0"/>
        <v>126.58227848101266</v>
      </c>
      <c r="F58">
        <v>65</v>
      </c>
      <c r="G58">
        <f t="shared" si="1"/>
        <v>-65</v>
      </c>
      <c r="I58">
        <f t="shared" si="2"/>
        <v>0.79</v>
      </c>
    </row>
    <row r="59" spans="2:9" x14ac:dyDescent="0.3">
      <c r="B59">
        <v>1955</v>
      </c>
      <c r="C59">
        <v>76</v>
      </c>
      <c r="D59" s="3">
        <f t="shared" si="0"/>
        <v>131.57894736842107</v>
      </c>
      <c r="F59">
        <v>76</v>
      </c>
      <c r="G59">
        <f t="shared" si="1"/>
        <v>-76</v>
      </c>
      <c r="I59">
        <f t="shared" si="2"/>
        <v>0.76</v>
      </c>
    </row>
    <row r="60" spans="2:9" x14ac:dyDescent="0.3">
      <c r="B60">
        <v>1956</v>
      </c>
      <c r="C60">
        <v>76</v>
      </c>
      <c r="D60" s="3">
        <f t="shared" si="0"/>
        <v>131.57894736842107</v>
      </c>
      <c r="F60">
        <v>81</v>
      </c>
      <c r="G60">
        <f t="shared" si="1"/>
        <v>-81</v>
      </c>
      <c r="I60">
        <f t="shared" si="2"/>
        <v>0.76</v>
      </c>
    </row>
    <row r="61" spans="2:9" x14ac:dyDescent="0.3">
      <c r="B61">
        <v>1957</v>
      </c>
      <c r="C61">
        <v>78</v>
      </c>
      <c r="D61" s="3">
        <f t="shared" si="0"/>
        <v>128.2051282051282</v>
      </c>
      <c r="F61">
        <v>88</v>
      </c>
      <c r="G61">
        <f t="shared" si="1"/>
        <v>-88</v>
      </c>
      <c r="I61">
        <f t="shared" si="2"/>
        <v>0.78</v>
      </c>
    </row>
    <row r="62" spans="2:9" x14ac:dyDescent="0.3">
      <c r="B62">
        <v>1958</v>
      </c>
      <c r="C62">
        <v>78</v>
      </c>
      <c r="D62" s="3">
        <f t="shared" si="0"/>
        <v>128.2051282051282</v>
      </c>
      <c r="F62">
        <v>94</v>
      </c>
      <c r="G62">
        <f t="shared" si="1"/>
        <v>-94</v>
      </c>
      <c r="I62">
        <f t="shared" si="2"/>
        <v>0.78</v>
      </c>
    </row>
    <row r="63" spans="2:9" x14ac:dyDescent="0.3">
      <c r="B63">
        <v>1959</v>
      </c>
      <c r="C63">
        <v>76</v>
      </c>
      <c r="D63" s="3">
        <f t="shared" si="0"/>
        <v>131.57894736842107</v>
      </c>
      <c r="F63">
        <v>105</v>
      </c>
      <c r="G63">
        <f t="shared" si="1"/>
        <v>-105</v>
      </c>
      <c r="I63">
        <f t="shared" si="2"/>
        <v>0.76</v>
      </c>
    </row>
    <row r="64" spans="2:9" x14ac:dyDescent="0.3">
      <c r="B64">
        <v>1960</v>
      </c>
      <c r="C64">
        <v>77</v>
      </c>
      <c r="D64" s="3">
        <f t="shared" si="0"/>
        <v>129.87012987012986</v>
      </c>
      <c r="F64">
        <v>99</v>
      </c>
      <c r="G64">
        <f t="shared" si="1"/>
        <v>-99</v>
      </c>
      <c r="I64">
        <f t="shared" si="2"/>
        <v>0.77</v>
      </c>
    </row>
    <row r="65" spans="2:9" x14ac:dyDescent="0.3">
      <c r="B65">
        <v>1961</v>
      </c>
      <c r="C65">
        <v>78</v>
      </c>
      <c r="D65" s="3">
        <f t="shared" si="0"/>
        <v>128.2051282051282</v>
      </c>
      <c r="F65">
        <v>94</v>
      </c>
      <c r="G65">
        <f t="shared" si="1"/>
        <v>-94</v>
      </c>
      <c r="I65">
        <f t="shared" si="2"/>
        <v>0.78</v>
      </c>
    </row>
    <row r="66" spans="2:9" x14ac:dyDescent="0.3">
      <c r="B66">
        <v>1962</v>
      </c>
      <c r="C66">
        <v>74</v>
      </c>
      <c r="D66" s="3">
        <f t="shared" si="0"/>
        <v>135.13513513513513</v>
      </c>
      <c r="F66">
        <v>111</v>
      </c>
      <c r="G66">
        <f t="shared" si="1"/>
        <v>-111</v>
      </c>
      <c r="I66">
        <f t="shared" si="2"/>
        <v>0.74</v>
      </c>
    </row>
    <row r="67" spans="2:9" x14ac:dyDescent="0.3">
      <c r="B67">
        <v>1963</v>
      </c>
      <c r="C67">
        <v>75</v>
      </c>
      <c r="D67" s="3">
        <f t="shared" si="0"/>
        <v>133.33333333333331</v>
      </c>
      <c r="F67">
        <v>104</v>
      </c>
      <c r="G67">
        <f t="shared" si="1"/>
        <v>-104</v>
      </c>
      <c r="I67">
        <f t="shared" si="2"/>
        <v>0.75</v>
      </c>
    </row>
    <row r="68" spans="2:9" x14ac:dyDescent="0.3">
      <c r="B68">
        <v>1964</v>
      </c>
      <c r="C68">
        <v>75</v>
      </c>
      <c r="D68" s="3">
        <f t="shared" ref="D68:D69" si="3">100/C68*100</f>
        <v>133.33333333333331</v>
      </c>
      <c r="F68">
        <v>110</v>
      </c>
      <c r="G68">
        <f t="shared" si="1"/>
        <v>-110</v>
      </c>
      <c r="I68">
        <f t="shared" si="2"/>
        <v>0.75</v>
      </c>
    </row>
    <row r="69" spans="2:9" x14ac:dyDescent="0.3">
      <c r="B69">
        <v>1965</v>
      </c>
      <c r="C69">
        <v>74</v>
      </c>
      <c r="D69" s="3">
        <f t="shared" si="3"/>
        <v>135.13513513513513</v>
      </c>
      <c r="F69">
        <v>115</v>
      </c>
      <c r="G69">
        <f t="shared" ref="G69" si="4">F69*-1</f>
        <v>-115</v>
      </c>
      <c r="I69">
        <f t="shared" ref="I69" si="5">C69/100</f>
        <v>0.74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US Census All States</vt:lpstr>
      <vt:lpstr>US Census All States Simple</vt:lpstr>
      <vt:lpstr>NC State Data</vt:lpstr>
      <vt:lpstr>NC State Simple</vt:lpstr>
      <vt:lpstr>NYSERS Data</vt:lpstr>
      <vt:lpstr>NYSERS SImple</vt:lpstr>
      <vt:lpstr>US Census All State and Local</vt:lpstr>
      <vt:lpstr>US Census All S&amp;L Simple</vt:lpstr>
      <vt:lpstr>Figure 1 Bond Yield Data</vt:lpstr>
      <vt:lpstr>Figure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 Vanatta</dc:creator>
  <cp:lastModifiedBy>Sean Vanatta</cp:lastModifiedBy>
  <dcterms:created xsi:type="dcterms:W3CDTF">2022-10-06T09:34:08Z</dcterms:created>
  <dcterms:modified xsi:type="dcterms:W3CDTF">2022-11-07T10:53:05Z</dcterms:modified>
</cp:coreProperties>
</file>