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5576" windowHeight="8664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" i="1"/>
  <c r="P31" i="1" l="1"/>
  <c r="P15" i="1"/>
  <c r="P4" i="1"/>
  <c r="P20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2" i="1"/>
  <c r="F33" i="1" l="1"/>
  <c r="I33" i="1" s="1"/>
  <c r="B33" i="1"/>
  <c r="E33" i="1" s="1"/>
  <c r="F32" i="1"/>
  <c r="I32" i="1" s="1"/>
  <c r="B32" i="1"/>
  <c r="E32" i="1" s="1"/>
  <c r="F31" i="1"/>
  <c r="I31" i="1" s="1"/>
  <c r="B31" i="1"/>
  <c r="E31" i="1" s="1"/>
  <c r="F30" i="1"/>
  <c r="I30" i="1" s="1"/>
  <c r="B30" i="1"/>
  <c r="E30" i="1" s="1"/>
  <c r="F29" i="1"/>
  <c r="I29" i="1" s="1"/>
  <c r="B29" i="1"/>
  <c r="E29" i="1" s="1"/>
  <c r="F28" i="1"/>
  <c r="I28" i="1" s="1"/>
  <c r="B28" i="1"/>
  <c r="E28" i="1" s="1"/>
  <c r="F27" i="1"/>
  <c r="I27" i="1" s="1"/>
  <c r="B27" i="1"/>
  <c r="E27" i="1" s="1"/>
  <c r="F26" i="1"/>
  <c r="I26" i="1" s="1"/>
  <c r="B26" i="1"/>
  <c r="E26" i="1" s="1"/>
  <c r="F25" i="1"/>
  <c r="I25" i="1" s="1"/>
  <c r="B25" i="1"/>
  <c r="E25" i="1" s="1"/>
  <c r="F24" i="1"/>
  <c r="I24" i="1" s="1"/>
  <c r="B24" i="1"/>
  <c r="E24" i="1" s="1"/>
  <c r="F23" i="1"/>
  <c r="I23" i="1" s="1"/>
  <c r="B23" i="1"/>
  <c r="E23" i="1" s="1"/>
  <c r="F22" i="1"/>
  <c r="I22" i="1" s="1"/>
  <c r="B22" i="1"/>
  <c r="E22" i="1" s="1"/>
  <c r="F21" i="1"/>
  <c r="I21" i="1" s="1"/>
  <c r="B21" i="1"/>
  <c r="E21" i="1" s="1"/>
  <c r="F20" i="1"/>
  <c r="I20" i="1" s="1"/>
  <c r="B20" i="1"/>
  <c r="E20" i="1" s="1"/>
  <c r="F19" i="1"/>
  <c r="I19" i="1" s="1"/>
  <c r="B19" i="1"/>
  <c r="E19" i="1" s="1"/>
  <c r="F18" i="1"/>
  <c r="I18" i="1" s="1"/>
  <c r="B18" i="1"/>
  <c r="E18" i="1" s="1"/>
  <c r="F17" i="1"/>
  <c r="I17" i="1" s="1"/>
  <c r="B17" i="1"/>
  <c r="E17" i="1" s="1"/>
  <c r="F16" i="1"/>
  <c r="I16" i="1" s="1"/>
  <c r="B16" i="1"/>
  <c r="E16" i="1" s="1"/>
  <c r="F15" i="1"/>
  <c r="I15" i="1" s="1"/>
  <c r="B15" i="1"/>
  <c r="E15" i="1" s="1"/>
  <c r="F14" i="1"/>
  <c r="I14" i="1" s="1"/>
  <c r="B14" i="1"/>
  <c r="E14" i="1" s="1"/>
  <c r="F13" i="1"/>
  <c r="I13" i="1" s="1"/>
  <c r="B13" i="1"/>
  <c r="E13" i="1" s="1"/>
  <c r="F12" i="1"/>
  <c r="I12" i="1" s="1"/>
  <c r="B12" i="1"/>
  <c r="E12" i="1" s="1"/>
  <c r="F11" i="1"/>
  <c r="I11" i="1" s="1"/>
  <c r="B11" i="1"/>
  <c r="E11" i="1" s="1"/>
  <c r="I10" i="1"/>
  <c r="E10" i="1"/>
  <c r="F9" i="1"/>
  <c r="I9" i="1" s="1"/>
  <c r="B9" i="1"/>
  <c r="E9" i="1" s="1"/>
  <c r="F8" i="1"/>
  <c r="I8" i="1" s="1"/>
  <c r="B8" i="1"/>
  <c r="E8" i="1" s="1"/>
  <c r="F7" i="1"/>
  <c r="I7" i="1" s="1"/>
  <c r="B7" i="1"/>
  <c r="E7" i="1" s="1"/>
  <c r="I6" i="1"/>
  <c r="E6" i="1"/>
  <c r="F5" i="1"/>
  <c r="I5" i="1" s="1"/>
  <c r="B5" i="1"/>
  <c r="E5" i="1" s="1"/>
  <c r="F4" i="1"/>
  <c r="I4" i="1" s="1"/>
  <c r="B4" i="1"/>
  <c r="E4" i="1" s="1"/>
  <c r="F3" i="1"/>
  <c r="I3" i="1" s="1"/>
  <c r="B3" i="1"/>
  <c r="E3" i="1" s="1"/>
  <c r="F2" i="1"/>
  <c r="I2" i="1" s="1"/>
  <c r="B2" i="1"/>
  <c r="E2" i="1" s="1"/>
  <c r="J10" i="1" l="1"/>
  <c r="M10" i="1" s="1"/>
  <c r="J14" i="1"/>
  <c r="M14" i="1" s="1"/>
  <c r="J32" i="1"/>
  <c r="J12" i="1"/>
  <c r="M12" i="1" s="1"/>
  <c r="J19" i="1"/>
  <c r="M19" i="1" s="1"/>
  <c r="J25" i="1"/>
  <c r="J6" i="1"/>
  <c r="M6" i="1" s="1"/>
  <c r="J28" i="1"/>
  <c r="J21" i="1"/>
  <c r="M21" i="1" s="1"/>
  <c r="J30" i="1"/>
  <c r="J18" i="1"/>
  <c r="M18" i="1" s="1"/>
  <c r="J7" i="1"/>
  <c r="M7" i="1" s="1"/>
  <c r="J9" i="1"/>
  <c r="M9" i="1" s="1"/>
  <c r="J3" i="1"/>
  <c r="M3" i="1" s="1"/>
  <c r="J11" i="1"/>
  <c r="M11" i="1" s="1"/>
  <c r="J15" i="1"/>
  <c r="M15" i="1" s="1"/>
  <c r="J17" i="1"/>
  <c r="M17" i="1" s="1"/>
  <c r="J4" i="1"/>
  <c r="M4" i="1" s="1"/>
  <c r="J23" i="1"/>
  <c r="J31" i="1"/>
  <c r="J13" i="1"/>
  <c r="M13" i="1" s="1"/>
  <c r="J26" i="1"/>
  <c r="J5" i="1"/>
  <c r="M5" i="1" s="1"/>
  <c r="J29" i="1"/>
  <c r="J2" i="1"/>
  <c r="J16" i="1"/>
  <c r="M16" i="1" s="1"/>
  <c r="J22" i="1"/>
  <c r="J8" i="1"/>
  <c r="M8" i="1" s="1"/>
  <c r="J20" i="1"/>
  <c r="M20" i="1" s="1"/>
  <c r="J27" i="1"/>
  <c r="J24" i="1"/>
  <c r="J33" i="1"/>
  <c r="P12" i="1" l="1"/>
  <c r="P7" i="1"/>
  <c r="P5" i="1"/>
  <c r="P11" i="1"/>
  <c r="P26" i="1"/>
  <c r="P27" i="1"/>
  <c r="M2" i="1"/>
  <c r="P19" i="1"/>
  <c r="P18" i="1"/>
  <c r="P32" i="1"/>
  <c r="P16" i="1"/>
  <c r="P8" i="1"/>
  <c r="P10" i="1"/>
  <c r="P21" i="1"/>
  <c r="P13" i="1"/>
  <c r="P3" i="1" l="1"/>
  <c r="P2" i="1"/>
</calcChain>
</file>

<file path=xl/sharedStrings.xml><?xml version="1.0" encoding="utf-8"?>
<sst xmlns="http://schemas.openxmlformats.org/spreadsheetml/2006/main" count="65" uniqueCount="22">
  <si>
    <t>Type of expt</t>
  </si>
  <si>
    <t>Abs 635 (wrt 800) pre</t>
  </si>
  <si>
    <t>moles pre</t>
  </si>
  <si>
    <t>abs 635 nm (wrt 800) post</t>
  </si>
  <si>
    <t>moles NH3 made</t>
  </si>
  <si>
    <t>Charge (C)</t>
  </si>
  <si>
    <t>Expected moles of NH3</t>
  </si>
  <si>
    <t>Faradaic yield (%)</t>
  </si>
  <si>
    <t>Argon blank</t>
  </si>
  <si>
    <t>Average FY</t>
  </si>
  <si>
    <t>Stand</t>
  </si>
  <si>
    <t>Average moles made</t>
  </si>
  <si>
    <t>Nitrogen run</t>
  </si>
  <si>
    <t>Argon run</t>
  </si>
  <si>
    <t>Nitrogen blank</t>
  </si>
  <si>
    <t>N2 bubble</t>
  </si>
  <si>
    <t>Ar bubble</t>
  </si>
  <si>
    <t>Conc pre (mg/L) in indophenol sample</t>
  </si>
  <si>
    <t>conc post (mg/L) in indophenol sample</t>
  </si>
  <si>
    <t>conc pre (moles/L) in electrolyte</t>
  </si>
  <si>
    <t xml:space="preserve">moles post </t>
  </si>
  <si>
    <t>conc post (mol/L) in electrolyte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</si>
</sst>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11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2" borderId="0" xfId="0" applyFill="1"/>
    <xf numFmtId="0" fontId="2" fillId="2" borderId="0" xfId="0" applyFont="1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0" fontId="0" fillId="4" borderId="0" xfId="0" applyFill="1"/>
    <xf numFmtId="0" fontId="2" fillId="4" borderId="0" xfId="0" applyFont="1" applyFill="1"/>
    <xf numFmtId="11" fontId="0" fillId="2" borderId="0" xfId="0" applyNumberFormat="1" applyFill="1" applyBorder="1" applyAlignment="1">
      <alignment horizontal="right" vertical="center"/>
    </xf>
    <xf numFmtId="0" fontId="2" fillId="5" borderId="0" xfId="0" applyFont="1" applyFill="1"/>
    <xf numFmtId="0" fontId="0" fillId="6" borderId="0" xfId="0" applyFill="1"/>
    <xf numFmtId="0" fontId="0" fillId="7" borderId="0" xfId="0" applyFill="1"/>
    <xf numFmtId="11" fontId="0" fillId="7" borderId="0" xfId="0" applyNumberFormat="1" applyFill="1" applyAlignment="1">
      <alignment horizontal="right"/>
    </xf>
    <xf numFmtId="11" fontId="0" fillId="7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tabSelected="1" topLeftCell="J1" workbookViewId="0">
      <selection activeCell="L2" sqref="L2"/>
    </sheetView>
  </sheetViews>
  <sheetFormatPr defaultRowHeight="14.4" x14ac:dyDescent="0.3"/>
  <cols>
    <col min="1" max="1" width="13.77734375" customWidth="1"/>
    <col min="2" max="2" width="23.44140625" customWidth="1"/>
    <col min="3" max="3" width="37" customWidth="1"/>
    <col min="4" max="4" width="38.109375" customWidth="1"/>
    <col min="5" max="5" width="23.44140625" customWidth="1"/>
    <col min="6" max="6" width="27.77734375" customWidth="1"/>
    <col min="7" max="7" width="55" customWidth="1"/>
    <col min="8" max="8" width="43.6640625" customWidth="1"/>
    <col min="9" max="9" width="26.5546875" customWidth="1"/>
    <col min="10" max="10" width="24.44140625" customWidth="1"/>
    <col min="11" max="11" width="13.21875" customWidth="1"/>
    <col min="12" max="12" width="32" customWidth="1"/>
    <col min="13" max="13" width="16.44140625" customWidth="1"/>
    <col min="14" max="14" width="8.88671875" customWidth="1"/>
    <col min="15" max="15" width="18" customWidth="1"/>
    <col min="16" max="16" width="12" customWidth="1"/>
    <col min="17" max="57" width="8.88671875" style="3"/>
  </cols>
  <sheetData>
    <row r="1" spans="1:57" x14ac:dyDescent="0.3">
      <c r="A1" s="1" t="s">
        <v>0</v>
      </c>
      <c r="B1" s="1" t="s">
        <v>1</v>
      </c>
      <c r="C1" s="1" t="s">
        <v>17</v>
      </c>
      <c r="D1" s="1" t="s">
        <v>19</v>
      </c>
      <c r="E1" s="1" t="s">
        <v>2</v>
      </c>
      <c r="F1" s="1" t="s">
        <v>3</v>
      </c>
      <c r="G1" s="1" t="s">
        <v>18</v>
      </c>
      <c r="H1" s="1" t="s">
        <v>21</v>
      </c>
      <c r="I1" s="1" t="s">
        <v>20</v>
      </c>
      <c r="J1" s="2" t="s">
        <v>4</v>
      </c>
      <c r="K1" s="1" t="s">
        <v>5</v>
      </c>
      <c r="L1" s="1" t="s">
        <v>6</v>
      </c>
      <c r="M1" s="1" t="s">
        <v>7</v>
      </c>
    </row>
    <row r="2" spans="1:57" x14ac:dyDescent="0.3">
      <c r="A2" t="s">
        <v>8</v>
      </c>
      <c r="B2" s="3">
        <f>0.043-0.015</f>
        <v>2.7999999999999997E-2</v>
      </c>
      <c r="C2" s="3">
        <f>(B2-0.01768)/0.70119</f>
        <v>1.4717836820262691E-2</v>
      </c>
      <c r="D2" s="3">
        <f>((C2/1000)/17)*2</f>
        <v>1.7315102141485519E-6</v>
      </c>
      <c r="E2" s="3">
        <f>D2*0.0075</f>
        <v>1.2986326606114138E-8</v>
      </c>
      <c r="F2" s="3">
        <f>0.049-0.019</f>
        <v>3.0000000000000002E-2</v>
      </c>
      <c r="G2">
        <f>(F2-0.01768)/0.70119</f>
        <v>1.757013077767795E-2</v>
      </c>
      <c r="H2">
        <f>((G2/1000)/17)*2</f>
        <v>2.0670742091385822E-6</v>
      </c>
      <c r="I2">
        <f>H2*0.0075</f>
        <v>1.5503056568539365E-8</v>
      </c>
      <c r="J2" s="3">
        <f>I2-E2</f>
        <v>2.5167299624252266E-9</v>
      </c>
      <c r="K2" s="4">
        <v>0.54632000000000003</v>
      </c>
      <c r="L2">
        <f>(K2/96485)/3</f>
        <v>1.8874090964053136E-6</v>
      </c>
      <c r="M2">
        <f>(J2/L2)*100</f>
        <v>0.13334310866777602</v>
      </c>
      <c r="O2" s="15" t="s">
        <v>9</v>
      </c>
      <c r="P2" s="15">
        <f>AVERAGE(M2:M3,M4:M5)</f>
        <v>0.1271397227111879</v>
      </c>
    </row>
    <row r="3" spans="1:57" x14ac:dyDescent="0.3">
      <c r="A3" t="s">
        <v>8</v>
      </c>
      <c r="B3" s="3">
        <f>0.0331-0.0045</f>
        <v>2.8599999999999997E-2</v>
      </c>
      <c r="C3" s="3">
        <f t="shared" ref="C3:C33" si="0">(B3-0.01768)/0.70119</f>
        <v>1.5573525007487266E-2</v>
      </c>
      <c r="D3" s="3">
        <f t="shared" ref="D3:D33" si="1">((C3/1000)/17)*2</f>
        <v>1.8321794126455605E-6</v>
      </c>
      <c r="E3" s="3">
        <f t="shared" ref="E3:E33" si="2">D3*0.0075</f>
        <v>1.3741345594841703E-8</v>
      </c>
      <c r="F3" s="3">
        <f>0.0331-0.0045</f>
        <v>2.8599999999999997E-2</v>
      </c>
      <c r="G3">
        <f t="shared" ref="G3:G33" si="3">(F3-0.01768)/0.70119</f>
        <v>1.5573525007487266E-2</v>
      </c>
      <c r="H3">
        <f t="shared" ref="H3:H33" si="4">((G3/1000)/17)*2</f>
        <v>1.8321794126455605E-6</v>
      </c>
      <c r="I3">
        <f t="shared" ref="I3:I33" si="5">H3*0.0075</f>
        <v>1.3741345594841703E-8</v>
      </c>
      <c r="J3" s="3">
        <f t="shared" ref="J3:J33" si="6">I3-E3</f>
        <v>0</v>
      </c>
      <c r="K3" s="4">
        <v>6.5948000000000002</v>
      </c>
      <c r="L3">
        <f t="shared" ref="L3:L21" si="7">(K3/96485)/3</f>
        <v>2.2783506935447652E-5</v>
      </c>
      <c r="M3">
        <f t="shared" ref="M3:M21" si="8">(J3/L3)*100</f>
        <v>0</v>
      </c>
      <c r="O3" s="15" t="s">
        <v>10</v>
      </c>
      <c r="P3" s="15">
        <f>_xlfn.STDEV.P(M2:M3,M4:M5)</f>
        <v>0.10913804676814286</v>
      </c>
    </row>
    <row r="4" spans="1:57" x14ac:dyDescent="0.3">
      <c r="A4" t="s">
        <v>8</v>
      </c>
      <c r="B4" s="6">
        <f>0.02525-(0.000665)</f>
        <v>2.4585000000000003E-2</v>
      </c>
      <c r="C4" s="3">
        <f t="shared" si="0"/>
        <v>9.8475448879761576E-3</v>
      </c>
      <c r="D4" s="3">
        <f t="shared" si="1"/>
        <v>1.1585346927030772E-6</v>
      </c>
      <c r="E4" s="3">
        <f t="shared" si="2"/>
        <v>8.6890101952730789E-9</v>
      </c>
      <c r="F4" s="3">
        <f>0.02666-(0.000665)</f>
        <v>2.5995000000000001E-2</v>
      </c>
      <c r="G4">
        <f t="shared" si="3"/>
        <v>1.1858412127953907E-2</v>
      </c>
      <c r="H4">
        <f t="shared" si="4"/>
        <v>1.3951073091710479E-6</v>
      </c>
      <c r="I4">
        <f t="shared" si="5"/>
        <v>1.0463304818782858E-8</v>
      </c>
      <c r="J4" s="3">
        <f t="shared" si="6"/>
        <v>1.7742946235097794E-9</v>
      </c>
      <c r="K4" s="4">
        <v>0.66037999999999997</v>
      </c>
      <c r="L4">
        <f t="shared" si="7"/>
        <v>2.2814599851444955E-6</v>
      </c>
      <c r="M4">
        <f t="shared" si="8"/>
        <v>7.7770139956997969E-2</v>
      </c>
      <c r="O4" s="15" t="s">
        <v>11</v>
      </c>
      <c r="P4" s="15">
        <f>AVERAGE(J2:J3,J4:J5)</f>
        <v>1.8592342597416326E-9</v>
      </c>
    </row>
    <row r="5" spans="1:57" s="5" customFormat="1" x14ac:dyDescent="0.3">
      <c r="A5" t="s">
        <v>8</v>
      </c>
      <c r="B5" s="6">
        <f>0.0336-0.00352</f>
        <v>3.0079999999999999E-2</v>
      </c>
      <c r="C5" s="3">
        <f t="shared" si="0"/>
        <v>1.7684222535974556E-2</v>
      </c>
      <c r="D5" s="3">
        <f t="shared" si="1"/>
        <v>2.0804967689381834E-6</v>
      </c>
      <c r="E5" s="3">
        <f t="shared" si="2"/>
        <v>1.5603725767036373E-8</v>
      </c>
      <c r="F5" s="3">
        <f>0.0361-0.00352</f>
        <v>3.2579999999999998E-2</v>
      </c>
      <c r="G5">
        <f t="shared" si="3"/>
        <v>2.1249589982743618E-2</v>
      </c>
      <c r="H5">
        <f t="shared" si="4"/>
        <v>2.4999517626757196E-6</v>
      </c>
      <c r="I5">
        <f t="shared" si="5"/>
        <v>1.8749638220067898E-8</v>
      </c>
      <c r="J5" s="3">
        <f t="shared" si="6"/>
        <v>3.1459124530315242E-9</v>
      </c>
      <c r="K5" s="4">
        <v>0.30614000000000002</v>
      </c>
      <c r="L5">
        <f t="shared" si="7"/>
        <v>1.05764281149056E-6</v>
      </c>
      <c r="M5">
        <f t="shared" si="8"/>
        <v>0.29744564221997766</v>
      </c>
      <c r="O5" s="15" t="s">
        <v>10</v>
      </c>
      <c r="P5" s="15">
        <f>_xlfn.STDEV.P(J2:J3,J4:J5)</f>
        <v>1.1781137621782699E-9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s="8" customFormat="1" x14ac:dyDescent="0.3">
      <c r="A6" s="7" t="s">
        <v>12</v>
      </c>
      <c r="B6" s="8">
        <v>2.8899999999999999E-2</v>
      </c>
      <c r="C6" s="7">
        <f t="shared" si="0"/>
        <v>1.6001369101099557E-2</v>
      </c>
      <c r="D6" s="7">
        <f t="shared" si="1"/>
        <v>1.8825140118940654E-6</v>
      </c>
      <c r="E6" s="7">
        <f t="shared" si="2"/>
        <v>1.4118855089205491E-8</v>
      </c>
      <c r="F6" s="7">
        <v>3.32E-2</v>
      </c>
      <c r="G6" s="7">
        <f t="shared" si="3"/>
        <v>2.2133801109542349E-2</v>
      </c>
      <c r="H6" s="7">
        <f t="shared" si="4"/>
        <v>2.6039766011226293E-6</v>
      </c>
      <c r="I6" s="7">
        <f t="shared" si="5"/>
        <v>1.9529824508419718E-8</v>
      </c>
      <c r="J6" s="7">
        <f t="shared" si="6"/>
        <v>5.4109694192142275E-9</v>
      </c>
      <c r="K6" s="9">
        <v>0.30057</v>
      </c>
      <c r="L6" s="7">
        <f t="shared" si="7"/>
        <v>1.0383997512566721E-6</v>
      </c>
      <c r="M6" s="7">
        <f t="shared" si="8"/>
        <v>0.52108731850772005</v>
      </c>
      <c r="N6" s="7"/>
      <c r="O6" s="7"/>
      <c r="P6" s="7"/>
    </row>
    <row r="7" spans="1:57" s="7" customFormat="1" x14ac:dyDescent="0.3">
      <c r="A7" s="7" t="s">
        <v>12</v>
      </c>
      <c r="B7" s="8">
        <f>0.0273-0.00124</f>
        <v>2.606E-2</v>
      </c>
      <c r="C7" s="7">
        <f t="shared" si="0"/>
        <v>1.1951111681569902E-2</v>
      </c>
      <c r="D7" s="7">
        <f t="shared" si="1"/>
        <v>1.4060131390082237E-6</v>
      </c>
      <c r="E7" s="7">
        <f t="shared" si="2"/>
        <v>1.0545098542561678E-8</v>
      </c>
      <c r="F7" s="7">
        <f>0.00857+0.0197</f>
        <v>2.8269999999999997E-2</v>
      </c>
      <c r="G7" s="7">
        <f t="shared" si="3"/>
        <v>1.510289650451375E-2</v>
      </c>
      <c r="H7" s="7">
        <f t="shared" si="4"/>
        <v>1.7768113534722059E-6</v>
      </c>
      <c r="I7" s="7">
        <f t="shared" si="5"/>
        <v>1.3326085151041544E-8</v>
      </c>
      <c r="J7" s="7">
        <f t="shared" si="6"/>
        <v>2.7809866084798661E-9</v>
      </c>
      <c r="K7" s="9">
        <v>0.33217000000000002</v>
      </c>
      <c r="L7" s="7">
        <f t="shared" si="7"/>
        <v>1.147570434091655E-6</v>
      </c>
      <c r="M7" s="7">
        <f t="shared" si="8"/>
        <v>0.24233689940618949</v>
      </c>
      <c r="O7" s="7" t="s">
        <v>9</v>
      </c>
      <c r="P7" s="7">
        <f>AVERAGE(M6:M11)</f>
        <v>0.31736502176783832</v>
      </c>
    </row>
    <row r="8" spans="1:57" s="7" customFormat="1" x14ac:dyDescent="0.3">
      <c r="A8" s="7" t="s">
        <v>12</v>
      </c>
      <c r="B8" s="8">
        <f>0.026-0.0013</f>
        <v>2.47E-2</v>
      </c>
      <c r="C8" s="7">
        <f t="shared" si="0"/>
        <v>1.0011551790527529E-2</v>
      </c>
      <c r="D8" s="7">
        <f t="shared" si="1"/>
        <v>1.1778296224150034E-6</v>
      </c>
      <c r="E8" s="7">
        <f t="shared" si="2"/>
        <v>8.8337221681125255E-9</v>
      </c>
      <c r="F8" s="7">
        <f>0.0329-0.00279</f>
        <v>3.0109999999999998E-2</v>
      </c>
      <c r="G8" s="7">
        <f t="shared" si="3"/>
        <v>1.7727006945335782E-2</v>
      </c>
      <c r="H8" s="7">
        <f t="shared" si="4"/>
        <v>2.0855302288630331E-6</v>
      </c>
      <c r="I8" s="7">
        <f t="shared" si="5"/>
        <v>1.5641476716472748E-8</v>
      </c>
      <c r="J8" s="7">
        <f t="shared" si="6"/>
        <v>6.8077545483602228E-9</v>
      </c>
      <c r="K8" s="14">
        <v>0.28139999999999998</v>
      </c>
      <c r="L8" s="7">
        <f t="shared" si="7"/>
        <v>9.7217184018241183E-7</v>
      </c>
      <c r="M8" s="7">
        <f t="shared" si="8"/>
        <v>0.70026247078735182</v>
      </c>
      <c r="O8" s="7" t="s">
        <v>10</v>
      </c>
      <c r="P8" s="7">
        <f>_xlfn.STDEV.P(M6:M11)</f>
        <v>0.21910451634308306</v>
      </c>
    </row>
    <row r="9" spans="1:57" s="7" customFormat="1" x14ac:dyDescent="0.3">
      <c r="A9" s="7" t="s">
        <v>12</v>
      </c>
      <c r="B9" s="8">
        <f>0.03-0.00235</f>
        <v>2.7649999999999997E-2</v>
      </c>
      <c r="C9" s="7">
        <f t="shared" si="0"/>
        <v>1.4218685377715022E-2</v>
      </c>
      <c r="D9" s="7">
        <f t="shared" si="1"/>
        <v>1.6727865150252968E-6</v>
      </c>
      <c r="E9" s="7">
        <f t="shared" si="2"/>
        <v>1.2545898862689725E-8</v>
      </c>
      <c r="F9" s="7">
        <f>0.0242+0.0084</f>
        <v>3.2599999999999997E-2</v>
      </c>
      <c r="G9" s="7">
        <f t="shared" si="3"/>
        <v>2.1278112922317769E-2</v>
      </c>
      <c r="H9" s="7">
        <f t="shared" si="4"/>
        <v>2.50330740262562E-6</v>
      </c>
      <c r="I9" s="7">
        <f t="shared" si="5"/>
        <v>1.877480551969215E-8</v>
      </c>
      <c r="J9" s="7">
        <f t="shared" si="6"/>
        <v>6.2289066570024246E-9</v>
      </c>
      <c r="K9" s="14">
        <v>0.8478</v>
      </c>
      <c r="L9" s="7">
        <f t="shared" si="7"/>
        <v>2.9289526869461573E-6</v>
      </c>
      <c r="M9" s="7">
        <f t="shared" si="8"/>
        <v>0.21266668747377174</v>
      </c>
    </row>
    <row r="10" spans="1:57" s="7" customFormat="1" x14ac:dyDescent="0.3">
      <c r="A10" s="7" t="s">
        <v>12</v>
      </c>
      <c r="B10" s="7">
        <v>2.7629999999999998E-2</v>
      </c>
      <c r="C10" s="7">
        <f t="shared" si="0"/>
        <v>1.4190162438140872E-2</v>
      </c>
      <c r="D10" s="7">
        <f t="shared" si="1"/>
        <v>1.6694308750753967E-6</v>
      </c>
      <c r="E10" s="7">
        <f t="shared" si="2"/>
        <v>1.2520731563065475E-8</v>
      </c>
      <c r="F10" s="7">
        <v>3.7650000000000003E-2</v>
      </c>
      <c r="G10" s="7">
        <f t="shared" si="3"/>
        <v>2.8480155164791285E-2</v>
      </c>
      <c r="H10" s="7">
        <f t="shared" si="4"/>
        <v>3.3506064899754456E-6</v>
      </c>
      <c r="I10" s="7">
        <f t="shared" si="5"/>
        <v>2.5129548674815842E-8</v>
      </c>
      <c r="J10" s="7">
        <f t="shared" si="6"/>
        <v>1.2608817111750367E-8</v>
      </c>
      <c r="K10" s="14">
        <v>2.7949000000000002</v>
      </c>
      <c r="L10" s="7">
        <f t="shared" si="7"/>
        <v>9.6557323245409471E-6</v>
      </c>
      <c r="M10" s="7">
        <f t="shared" si="8"/>
        <v>0.13058374743574735</v>
      </c>
      <c r="O10" s="7" t="s">
        <v>11</v>
      </c>
      <c r="P10" s="7">
        <f>AVERAGE(J6:J11)</f>
        <v>8.5296172976528135E-9</v>
      </c>
    </row>
    <row r="11" spans="1:57" s="7" customFormat="1" x14ac:dyDescent="0.3">
      <c r="A11" s="7" t="s">
        <v>12</v>
      </c>
      <c r="B11" s="7">
        <f>0.0409-0.00455</f>
        <v>3.635E-2</v>
      </c>
      <c r="C11" s="7">
        <f t="shared" si="0"/>
        <v>2.6626164092471368E-2</v>
      </c>
      <c r="D11" s="7">
        <f t="shared" si="1"/>
        <v>3.1324898932319254E-6</v>
      </c>
      <c r="E11" s="7">
        <f t="shared" si="2"/>
        <v>2.3493674199239441E-8</v>
      </c>
      <c r="F11" s="7">
        <f>0.0613-0.01117</f>
        <v>5.0130000000000001E-2</v>
      </c>
      <c r="G11" s="7">
        <f t="shared" si="3"/>
        <v>4.627846945906245E-2</v>
      </c>
      <c r="H11" s="7">
        <f t="shared" si="4"/>
        <v>5.4445258187132293E-6</v>
      </c>
      <c r="I11" s="7">
        <f t="shared" si="5"/>
        <v>4.0833943640349217E-8</v>
      </c>
      <c r="J11" s="7">
        <f t="shared" si="6"/>
        <v>1.7340269441109776E-8</v>
      </c>
      <c r="K11" s="14">
        <v>5.1609999999999996</v>
      </c>
      <c r="L11" s="7">
        <f t="shared" si="7"/>
        <v>1.7830059940232506E-5</v>
      </c>
      <c r="M11" s="7">
        <f t="shared" si="8"/>
        <v>9.7253006996249378E-2</v>
      </c>
      <c r="O11" s="7" t="s">
        <v>10</v>
      </c>
      <c r="P11" s="7">
        <f>_xlfn.STDEV.P(J6:J11)</f>
        <v>4.9210138265390354E-9</v>
      </c>
    </row>
    <row r="12" spans="1:57" s="17" customFormat="1" x14ac:dyDescent="0.3">
      <c r="A12" s="17" t="s">
        <v>13</v>
      </c>
      <c r="B12" s="17">
        <f>0.0189-(0.000641)</f>
        <v>1.8259000000000001E-2</v>
      </c>
      <c r="C12" s="17">
        <f t="shared" si="0"/>
        <v>8.2573910067171481E-4</v>
      </c>
      <c r="D12" s="17">
        <f t="shared" si="1"/>
        <v>9.7145776549613511E-8</v>
      </c>
      <c r="E12" s="17">
        <f t="shared" si="2"/>
        <v>7.2859332412210131E-10</v>
      </c>
      <c r="F12" s="17">
        <f>0.032+0.00124</f>
        <v>3.3239999999999999E-2</v>
      </c>
      <c r="G12" s="17">
        <f t="shared" si="3"/>
        <v>2.219084698869065E-2</v>
      </c>
      <c r="H12" s="17">
        <f t="shared" si="4"/>
        <v>2.6106878810224292E-6</v>
      </c>
      <c r="I12" s="17">
        <f t="shared" si="5"/>
        <v>1.9580159107668219E-8</v>
      </c>
      <c r="J12" s="17">
        <f t="shared" si="6"/>
        <v>1.8851565783546117E-8</v>
      </c>
      <c r="K12" s="18">
        <v>0.67474999999999996</v>
      </c>
      <c r="L12" s="17">
        <f t="shared" si="7"/>
        <v>2.3311050076868599E-6</v>
      </c>
      <c r="M12" s="17">
        <f t="shared" si="8"/>
        <v>0.80869655040775712</v>
      </c>
      <c r="O12" s="17" t="s">
        <v>9</v>
      </c>
      <c r="P12" s="17">
        <f>AVERAGE(M12:M16)</f>
        <v>0.47773173461020751</v>
      </c>
    </row>
    <row r="13" spans="1:57" s="17" customFormat="1" x14ac:dyDescent="0.3">
      <c r="A13" s="17" t="s">
        <v>13</v>
      </c>
      <c r="B13" s="17">
        <f>0.0215+(0.00045)</f>
        <v>2.1949999999999997E-2</v>
      </c>
      <c r="C13" s="17">
        <f t="shared" si="0"/>
        <v>6.0896475990815562E-3</v>
      </c>
      <c r="D13" s="17">
        <f t="shared" si="1"/>
        <v>7.1642912930371248E-7</v>
      </c>
      <c r="E13" s="17">
        <f t="shared" si="2"/>
        <v>5.3732184697778435E-9</v>
      </c>
      <c r="F13" s="17">
        <f>0.0348+(0.00045)</f>
        <v>3.5249999999999997E-2</v>
      </c>
      <c r="G13" s="17">
        <f t="shared" si="3"/>
        <v>2.5057402415892976E-2</v>
      </c>
      <c r="H13" s="17">
        <f t="shared" si="4"/>
        <v>2.9479296959874088E-6</v>
      </c>
      <c r="I13" s="17">
        <f t="shared" si="5"/>
        <v>2.2109472719905565E-8</v>
      </c>
      <c r="J13" s="17">
        <f t="shared" si="6"/>
        <v>1.6736254250127721E-8</v>
      </c>
      <c r="K13" s="19">
        <v>1.7678</v>
      </c>
      <c r="L13" s="17">
        <f t="shared" si="7"/>
        <v>6.1073396555595859E-6</v>
      </c>
      <c r="M13" s="17">
        <f t="shared" si="8"/>
        <v>0.27403509865203751</v>
      </c>
      <c r="O13" s="17" t="s">
        <v>10</v>
      </c>
      <c r="P13" s="17">
        <f>_xlfn.STDEV.P(M12:M16)</f>
        <v>0.21792815118190254</v>
      </c>
    </row>
    <row r="14" spans="1:57" s="17" customFormat="1" x14ac:dyDescent="0.3">
      <c r="A14" s="17" t="s">
        <v>13</v>
      </c>
      <c r="B14" s="17">
        <f>0.0266+0.001893</f>
        <v>2.8492999999999997E-2</v>
      </c>
      <c r="C14" s="17">
        <f t="shared" si="0"/>
        <v>1.5420927280765551E-2</v>
      </c>
      <c r="D14" s="17">
        <f t="shared" si="1"/>
        <v>1.8142267389135942E-6</v>
      </c>
      <c r="E14" s="17">
        <f t="shared" si="2"/>
        <v>1.3606700541851955E-8</v>
      </c>
      <c r="F14" s="17">
        <f>0.0337+(0.000577)</f>
        <v>3.4277000000000002E-2</v>
      </c>
      <c r="G14" s="17">
        <f t="shared" si="3"/>
        <v>2.3669761405610463E-2</v>
      </c>
      <c r="H14" s="17">
        <f t="shared" si="4"/>
        <v>2.7846778124247605E-6</v>
      </c>
      <c r="I14" s="17">
        <f t="shared" si="5"/>
        <v>2.0885083593185704E-8</v>
      </c>
      <c r="J14" s="17">
        <f t="shared" si="6"/>
        <v>7.2783830513337489E-9</v>
      </c>
      <c r="K14" s="19">
        <v>0.43722</v>
      </c>
      <c r="L14" s="17">
        <f t="shared" si="7"/>
        <v>1.5104938591490905E-6</v>
      </c>
      <c r="M14" s="17">
        <f t="shared" si="8"/>
        <v>0.48185452772604415</v>
      </c>
    </row>
    <row r="15" spans="1:57" s="17" customFormat="1" x14ac:dyDescent="0.3">
      <c r="A15" s="17" t="s">
        <v>13</v>
      </c>
      <c r="B15" s="17">
        <f>0.0294-0.00282</f>
        <v>2.6579999999999999E-2</v>
      </c>
      <c r="C15" s="17">
        <f t="shared" si="0"/>
        <v>1.2692708110497867E-2</v>
      </c>
      <c r="D15" s="17">
        <f t="shared" si="1"/>
        <v>1.4932597777056314E-6</v>
      </c>
      <c r="E15" s="17">
        <f t="shared" si="2"/>
        <v>1.1199448332792236E-8</v>
      </c>
      <c r="F15" s="17">
        <f>0.0448-(0.000806)</f>
        <v>4.3993999999999998E-2</v>
      </c>
      <c r="G15" s="17">
        <f t="shared" si="3"/>
        <v>3.7527631597712455E-2</v>
      </c>
      <c r="H15" s="17">
        <f t="shared" si="4"/>
        <v>4.4150154820838183E-6</v>
      </c>
      <c r="I15" s="17">
        <f t="shared" si="5"/>
        <v>3.3112616115628637E-8</v>
      </c>
      <c r="J15" s="17">
        <f t="shared" si="6"/>
        <v>2.1913167782836402E-8</v>
      </c>
      <c r="K15" s="19">
        <v>1.0410999999999999</v>
      </c>
      <c r="L15" s="17">
        <f t="shared" si="7"/>
        <v>3.5967594271993919E-6</v>
      </c>
      <c r="M15" s="17">
        <f t="shared" si="8"/>
        <v>0.60924752478925281</v>
      </c>
      <c r="O15" s="17" t="s">
        <v>11</v>
      </c>
      <c r="P15" s="17">
        <f>AVERAGE(J12:J16)</f>
        <v>1.4214239154781405E-8</v>
      </c>
    </row>
    <row r="16" spans="1:57" s="17" customFormat="1" x14ac:dyDescent="0.3">
      <c r="A16" s="17" t="s">
        <v>13</v>
      </c>
      <c r="B16" s="17">
        <f>0.0316-0.0042</f>
        <v>2.7400000000000004E-2</v>
      </c>
      <c r="C16" s="17">
        <f t="shared" si="0"/>
        <v>1.3862148633038125E-2</v>
      </c>
      <c r="D16" s="17">
        <f t="shared" si="1"/>
        <v>1.6308410156515442E-6</v>
      </c>
      <c r="E16" s="17">
        <f t="shared" si="2"/>
        <v>1.2231307617386581E-8</v>
      </c>
      <c r="F16" s="17">
        <f>0.0366-0.0042</f>
        <v>3.2399999999999998E-2</v>
      </c>
      <c r="G16" s="17">
        <f t="shared" si="3"/>
        <v>2.0992883526576245E-2</v>
      </c>
      <c r="H16" s="17">
        <f t="shared" si="4"/>
        <v>2.4697510031266169E-6</v>
      </c>
      <c r="I16" s="17">
        <f t="shared" si="5"/>
        <v>1.8523132523449625E-8</v>
      </c>
      <c r="J16" s="17">
        <f t="shared" si="6"/>
        <v>6.2918249060630434E-9</v>
      </c>
      <c r="K16" s="19">
        <v>0.84775999999999996</v>
      </c>
      <c r="L16" s="17">
        <f t="shared" si="7"/>
        <v>2.9288144962083916E-6</v>
      </c>
      <c r="M16" s="17">
        <f t="shared" si="8"/>
        <v>0.21482497147594584</v>
      </c>
      <c r="O16" s="17" t="s">
        <v>10</v>
      </c>
      <c r="P16" s="17">
        <f>_xlfn.STDEV.P(J12:J16)</f>
        <v>6.2930057657516504E-9</v>
      </c>
    </row>
    <row r="17" spans="1:16" s="10" customFormat="1" x14ac:dyDescent="0.3">
      <c r="A17" s="10" t="s">
        <v>14</v>
      </c>
      <c r="B17" s="10">
        <f>0.0327-0.00211</f>
        <v>3.0589999999999999E-2</v>
      </c>
      <c r="C17" s="10">
        <f t="shared" si="0"/>
        <v>1.8411557495115444E-2</v>
      </c>
      <c r="D17" s="10">
        <f t="shared" si="1"/>
        <v>2.1660655876606405E-6</v>
      </c>
      <c r="E17" s="10">
        <f t="shared" si="2"/>
        <v>1.6245491907454804E-8</v>
      </c>
      <c r="F17" s="10">
        <f>0.0276+0.002527</f>
        <v>3.0127000000000001E-2</v>
      </c>
      <c r="G17" s="10">
        <f t="shared" si="3"/>
        <v>1.7751251443973815E-2</v>
      </c>
      <c r="H17" s="10">
        <f t="shared" si="4"/>
        <v>2.0883825228204489E-6</v>
      </c>
      <c r="I17" s="10">
        <f t="shared" si="5"/>
        <v>1.5662868921153366E-8</v>
      </c>
      <c r="J17" s="10">
        <f t="shared" si="6"/>
        <v>-5.8262298630143734E-10</v>
      </c>
      <c r="K17" s="11">
        <v>0.39437</v>
      </c>
      <c r="L17" s="10">
        <f t="shared" si="7"/>
        <v>1.362457031317476E-6</v>
      </c>
      <c r="M17" s="10">
        <f t="shared" si="8"/>
        <v>-4.2762668686736449E-2</v>
      </c>
    </row>
    <row r="18" spans="1:16" s="10" customFormat="1" x14ac:dyDescent="0.3">
      <c r="A18" s="10" t="s">
        <v>14</v>
      </c>
      <c r="B18" s="10">
        <f>0.0312-0.003195</f>
        <v>2.8004999999999999E-2</v>
      </c>
      <c r="C18" s="10">
        <f t="shared" si="0"/>
        <v>1.472496755515623E-2</v>
      </c>
      <c r="D18" s="10">
        <f t="shared" si="1"/>
        <v>1.7323491241360272E-6</v>
      </c>
      <c r="E18" s="10">
        <f t="shared" si="2"/>
        <v>1.2992618431020203E-8</v>
      </c>
      <c r="F18" s="10">
        <f>0.0233+0.00172</f>
        <v>2.5020000000000001E-2</v>
      </c>
      <c r="G18" s="10">
        <f t="shared" si="3"/>
        <v>1.0467918823713972E-2</v>
      </c>
      <c r="H18" s="10">
        <f t="shared" si="4"/>
        <v>1.2315198616134085E-6</v>
      </c>
      <c r="I18" s="10">
        <f t="shared" si="5"/>
        <v>9.2363989621005635E-9</v>
      </c>
      <c r="J18" s="10">
        <f t="shared" si="6"/>
        <v>-3.7562194689196393E-9</v>
      </c>
      <c r="K18" s="11">
        <v>0.72594000000000003</v>
      </c>
      <c r="L18" s="10">
        <f t="shared" si="7"/>
        <v>2.5079546043426439E-6</v>
      </c>
      <c r="M18" s="10">
        <f t="shared" si="8"/>
        <v>-0.14977222723312314</v>
      </c>
      <c r="O18" s="10" t="s">
        <v>9</v>
      </c>
      <c r="P18" s="10">
        <f>AVERAGE(M17:M19,M20:M21)</f>
        <v>-4.4273938627276146E-2</v>
      </c>
    </row>
    <row r="19" spans="1:16" s="10" customFormat="1" x14ac:dyDescent="0.3">
      <c r="A19" s="10" t="s">
        <v>14</v>
      </c>
      <c r="B19" s="10">
        <f>0.0555-0.0217</f>
        <v>3.3799999999999997E-2</v>
      </c>
      <c r="C19" s="10">
        <f t="shared" si="0"/>
        <v>2.2989489296766918E-2</v>
      </c>
      <c r="D19" s="10">
        <f t="shared" si="1"/>
        <v>2.7046457996196373E-6</v>
      </c>
      <c r="E19" s="10">
        <f t="shared" si="2"/>
        <v>2.028484349714728E-8</v>
      </c>
      <c r="F19" s="10">
        <f>0.0403-0.0124</f>
        <v>2.7900000000000001E-2</v>
      </c>
      <c r="G19" s="10">
        <f t="shared" si="3"/>
        <v>1.4575222122391934E-2</v>
      </c>
      <c r="H19" s="10">
        <f t="shared" si="4"/>
        <v>1.7147320143990509E-6</v>
      </c>
      <c r="I19" s="10">
        <f t="shared" si="5"/>
        <v>1.2860490107992882E-8</v>
      </c>
      <c r="J19" s="10">
        <f t="shared" si="6"/>
        <v>-7.4243533891543976E-9</v>
      </c>
      <c r="K19" s="11">
        <v>4.1383000000000001</v>
      </c>
      <c r="L19" s="10">
        <f t="shared" si="7"/>
        <v>1.4296868252405384E-5</v>
      </c>
      <c r="M19" s="10">
        <f t="shared" si="8"/>
        <v>-5.1929927995981104E-2</v>
      </c>
      <c r="O19" s="10" t="s">
        <v>10</v>
      </c>
      <c r="P19" s="10">
        <f>_xlfn.STDEV.P(M17:M19,M20:M21)</f>
        <v>5.9030501618920275E-2</v>
      </c>
    </row>
    <row r="20" spans="1:16" s="10" customFormat="1" x14ac:dyDescent="0.3">
      <c r="A20" s="10" t="s">
        <v>14</v>
      </c>
      <c r="B20" s="10">
        <f>0.0373-0.00742</f>
        <v>2.988E-2</v>
      </c>
      <c r="C20" s="10">
        <f t="shared" si="0"/>
        <v>1.7398993140233032E-2</v>
      </c>
      <c r="D20" s="10">
        <f t="shared" si="1"/>
        <v>2.0469403694391803E-6</v>
      </c>
      <c r="E20" s="10">
        <f t="shared" si="2"/>
        <v>1.5352052770793852E-8</v>
      </c>
      <c r="F20" s="10">
        <f>0.0384-0.00673</f>
        <v>3.1669999999999997E-2</v>
      </c>
      <c r="G20" s="10">
        <f t="shared" si="3"/>
        <v>1.9951796232119675E-2</v>
      </c>
      <c r="H20" s="10">
        <f t="shared" si="4"/>
        <v>2.3472701449552559E-6</v>
      </c>
      <c r="I20" s="10">
        <f t="shared" si="5"/>
        <v>1.7604526087164417E-8</v>
      </c>
      <c r="J20" s="10">
        <f t="shared" si="6"/>
        <v>2.2524733163705656E-9</v>
      </c>
      <c r="K20" s="11">
        <v>5.5228000000000002</v>
      </c>
      <c r="L20" s="10">
        <f t="shared" si="7"/>
        <v>1.9079995163324178E-5</v>
      </c>
      <c r="M20" s="10">
        <f t="shared" si="8"/>
        <v>1.1805418696857429E-2</v>
      </c>
      <c r="O20" s="10" t="s">
        <v>11</v>
      </c>
      <c r="P20" s="10">
        <f>AVERAGE(J17:J19,J20:J21)</f>
        <v>-1.1232165822303755E-9</v>
      </c>
    </row>
    <row r="21" spans="1:16" s="10" customFormat="1" x14ac:dyDescent="0.3">
      <c r="A21" s="10" t="s">
        <v>14</v>
      </c>
      <c r="B21" s="10">
        <f>0.0288-(0.000765)</f>
        <v>2.8035000000000001E-2</v>
      </c>
      <c r="C21" s="10">
        <f t="shared" si="0"/>
        <v>1.4767751964517463E-2</v>
      </c>
      <c r="D21" s="10">
        <f t="shared" si="1"/>
        <v>1.737382584060878E-6</v>
      </c>
      <c r="E21" s="10">
        <f t="shared" si="2"/>
        <v>1.3030369380456584E-8</v>
      </c>
      <c r="F21" s="10">
        <f>0.0365-0.00537</f>
        <v>3.1129999999999998E-2</v>
      </c>
      <c r="G21" s="10">
        <f t="shared" si="3"/>
        <v>1.9181676863617561E-2</v>
      </c>
      <c r="H21" s="10">
        <f t="shared" si="4"/>
        <v>2.2566678663079486E-6</v>
      </c>
      <c r="I21" s="10">
        <f t="shared" si="5"/>
        <v>1.6925008997309615E-8</v>
      </c>
      <c r="J21" s="10">
        <f t="shared" si="6"/>
        <v>3.8946396168530311E-9</v>
      </c>
      <c r="K21" s="11">
        <v>9.9854000000000003</v>
      </c>
      <c r="L21" s="10">
        <f t="shared" si="7"/>
        <v>3.4497244822165794E-5</v>
      </c>
      <c r="M21" s="10">
        <f t="shared" si="8"/>
        <v>1.1289712082602541E-2</v>
      </c>
      <c r="O21" s="10" t="s">
        <v>10</v>
      </c>
      <c r="P21" s="10">
        <f>_xlfn.STDEV.P(J17:J19,J20:J21)</f>
        <v>4.0866473746346709E-9</v>
      </c>
    </row>
    <row r="22" spans="1:16" s="16" customFormat="1" x14ac:dyDescent="0.3">
      <c r="A22" s="16" t="s">
        <v>15</v>
      </c>
      <c r="B22" s="16">
        <f>0.0221+0.00427</f>
        <v>2.6370000000000001E-2</v>
      </c>
      <c r="C22" s="16">
        <f t="shared" si="0"/>
        <v>1.2393217244969267E-2</v>
      </c>
      <c r="D22" s="16">
        <f t="shared" si="1"/>
        <v>1.4580255582316786E-6</v>
      </c>
      <c r="E22" s="16">
        <f t="shared" si="2"/>
        <v>1.0935191686737588E-8</v>
      </c>
      <c r="F22" s="16">
        <f>0.0347-0.00234</f>
        <v>3.236E-2</v>
      </c>
      <c r="G22" s="16">
        <f t="shared" si="3"/>
        <v>2.0935837647427943E-2</v>
      </c>
      <c r="H22" s="16">
        <f t="shared" si="4"/>
        <v>2.463039723226817E-6</v>
      </c>
      <c r="I22" s="16">
        <f t="shared" si="5"/>
        <v>1.8472797924201127E-8</v>
      </c>
      <c r="J22" s="16">
        <f t="shared" si="6"/>
        <v>7.5376062374635389E-9</v>
      </c>
    </row>
    <row r="23" spans="1:16" s="16" customFormat="1" x14ac:dyDescent="0.3">
      <c r="A23" s="16" t="s">
        <v>15</v>
      </c>
      <c r="B23" s="16">
        <f>0.00622+0.0108</f>
        <v>1.702E-2</v>
      </c>
      <c r="C23" s="16">
        <f t="shared" si="0"/>
        <v>-9.4125700594703413E-4</v>
      </c>
      <c r="D23" s="16">
        <f t="shared" si="1"/>
        <v>-1.1073611834670991E-7</v>
      </c>
      <c r="E23" s="16">
        <f t="shared" si="2"/>
        <v>-8.3052088760032431E-10</v>
      </c>
      <c r="F23" s="16">
        <f>0.00868+0.0108</f>
        <v>1.9480000000000001E-2</v>
      </c>
      <c r="G23" s="16">
        <f t="shared" si="3"/>
        <v>2.5670645616737253E-3</v>
      </c>
      <c r="H23" s="16">
        <f t="shared" si="4"/>
        <v>3.0200759549102653E-7</v>
      </c>
      <c r="I23" s="16">
        <f t="shared" si="5"/>
        <v>2.2650569661826988E-9</v>
      </c>
      <c r="J23" s="16">
        <f t="shared" si="6"/>
        <v>3.0955778537830232E-9</v>
      </c>
    </row>
    <row r="24" spans="1:16" s="16" customFormat="1" x14ac:dyDescent="0.3">
      <c r="A24" s="16" t="s">
        <v>15</v>
      </c>
      <c r="B24" s="16">
        <f>0.0277-0.00113</f>
        <v>2.657E-2</v>
      </c>
      <c r="C24" s="16">
        <f t="shared" si="0"/>
        <v>1.2678446640710789E-2</v>
      </c>
      <c r="D24" s="16">
        <f t="shared" si="1"/>
        <v>1.491581957730681E-6</v>
      </c>
      <c r="E24" s="16">
        <f t="shared" si="2"/>
        <v>1.1186864682980108E-8</v>
      </c>
      <c r="F24" s="16">
        <f>0.0264-0.00113</f>
        <v>2.5270000000000001E-2</v>
      </c>
      <c r="G24" s="16">
        <f t="shared" si="3"/>
        <v>1.0824455568390878E-2</v>
      </c>
      <c r="H24" s="16">
        <f t="shared" si="4"/>
        <v>1.2734653609871621E-6</v>
      </c>
      <c r="I24" s="16">
        <f t="shared" si="5"/>
        <v>9.5509902074037156E-9</v>
      </c>
      <c r="J24" s="16">
        <f t="shared" si="6"/>
        <v>-1.6358744755763925E-9</v>
      </c>
    </row>
    <row r="25" spans="1:16" s="16" customFormat="1" x14ac:dyDescent="0.3">
      <c r="A25" s="16" t="s">
        <v>15</v>
      </c>
      <c r="B25" s="16">
        <f>0.0311-(0.000462)</f>
        <v>3.0637999999999999E-2</v>
      </c>
      <c r="C25" s="16">
        <f t="shared" si="0"/>
        <v>1.8480012550093409E-2</v>
      </c>
      <c r="D25" s="16">
        <f t="shared" si="1"/>
        <v>2.1741191235404012E-6</v>
      </c>
      <c r="E25" s="16">
        <f t="shared" si="2"/>
        <v>1.6305893426553007E-8</v>
      </c>
      <c r="F25" s="16">
        <f>0.0304-0.00169</f>
        <v>2.8709999999999999E-2</v>
      </c>
      <c r="G25" s="16">
        <f t="shared" si="3"/>
        <v>1.5730401175145108E-2</v>
      </c>
      <c r="H25" s="16">
        <f t="shared" si="4"/>
        <v>1.8506354323700129E-6</v>
      </c>
      <c r="I25" s="16">
        <f t="shared" si="5"/>
        <v>1.3879765742775097E-8</v>
      </c>
      <c r="J25" s="16">
        <f t="shared" si="6"/>
        <v>-2.4261276837779102E-9</v>
      </c>
    </row>
    <row r="26" spans="1:16" s="16" customFormat="1" x14ac:dyDescent="0.3">
      <c r="A26" s="16" t="s">
        <v>15</v>
      </c>
      <c r="B26" s="16">
        <f>0.0299-0.00133</f>
        <v>2.8569999999999998E-2</v>
      </c>
      <c r="C26" s="16">
        <f t="shared" si="0"/>
        <v>1.5530740598126039E-2</v>
      </c>
      <c r="D26" s="16">
        <f t="shared" si="1"/>
        <v>1.8271459527207106E-6</v>
      </c>
      <c r="E26" s="16">
        <f t="shared" si="2"/>
        <v>1.3703594645405328E-8</v>
      </c>
      <c r="F26" s="16">
        <f>0.0324-0.00547</f>
        <v>2.6929999999999999E-2</v>
      </c>
      <c r="G26" s="16">
        <f t="shared" si="3"/>
        <v>1.3191859553045535E-2</v>
      </c>
      <c r="H26" s="16">
        <f t="shared" si="4"/>
        <v>1.5519834768288864E-6</v>
      </c>
      <c r="I26" s="16">
        <f t="shared" si="5"/>
        <v>1.1639876076216647E-8</v>
      </c>
      <c r="J26" s="16">
        <f t="shared" si="6"/>
        <v>-2.063718569188681E-9</v>
      </c>
      <c r="O26" s="16" t="s">
        <v>11</v>
      </c>
      <c r="P26" s="16">
        <f>AVERAGE(J22:J28)</f>
        <v>1.0212530654669779E-9</v>
      </c>
    </row>
    <row r="27" spans="1:16" s="16" customFormat="1" x14ac:dyDescent="0.3">
      <c r="A27" s="16" t="s">
        <v>15</v>
      </c>
      <c r="B27" s="16">
        <f>0.0394-0.0044</f>
        <v>3.4999999999999996E-2</v>
      </c>
      <c r="C27" s="16">
        <f t="shared" si="0"/>
        <v>2.4700865671216068E-2</v>
      </c>
      <c r="D27" s="16">
        <f t="shared" si="1"/>
        <v>2.9059841966136551E-6</v>
      </c>
      <c r="E27" s="16">
        <f t="shared" si="2"/>
        <v>2.1794881474602413E-8</v>
      </c>
      <c r="F27" s="16">
        <f>0.0479-0.0094</f>
        <v>3.85E-2</v>
      </c>
      <c r="G27" s="16">
        <f t="shared" si="3"/>
        <v>2.9692380096692762E-2</v>
      </c>
      <c r="H27" s="16">
        <f t="shared" si="4"/>
        <v>3.4932211878462073E-6</v>
      </c>
      <c r="I27" s="16">
        <f t="shared" si="5"/>
        <v>2.6199158908846552E-8</v>
      </c>
      <c r="J27" s="16">
        <f t="shared" si="6"/>
        <v>4.4042774342441392E-9</v>
      </c>
      <c r="O27" s="16" t="s">
        <v>10</v>
      </c>
      <c r="P27" s="16">
        <f>_xlfn.STDEV.P(J22:J28)</f>
        <v>3.6727615350104319E-9</v>
      </c>
    </row>
    <row r="28" spans="1:16" s="16" customFormat="1" x14ac:dyDescent="0.3">
      <c r="A28" s="16" t="s">
        <v>15</v>
      </c>
      <c r="B28" s="16">
        <f>0.0346-0.0024</f>
        <v>3.2199999999999999E-2</v>
      </c>
      <c r="C28" s="16">
        <f t="shared" si="0"/>
        <v>2.070765413083472E-2</v>
      </c>
      <c r="D28" s="16">
        <f t="shared" si="1"/>
        <v>2.4361946036276142E-6</v>
      </c>
      <c r="E28" s="16">
        <f t="shared" si="2"/>
        <v>1.8271459527207106E-8</v>
      </c>
      <c r="F28" s="16">
        <f>0.0309-(0.000101)</f>
        <v>3.0799E-2</v>
      </c>
      <c r="G28" s="16">
        <f t="shared" si="3"/>
        <v>1.8709622213665338E-2</v>
      </c>
      <c r="H28" s="16">
        <f t="shared" si="4"/>
        <v>2.2011320251370982E-6</v>
      </c>
      <c r="I28" s="16">
        <f t="shared" si="5"/>
        <v>1.6508490188528235E-8</v>
      </c>
      <c r="J28" s="16">
        <f t="shared" si="6"/>
        <v>-1.7629693386788719E-9</v>
      </c>
    </row>
    <row r="29" spans="1:16" s="12" customFormat="1" x14ac:dyDescent="0.3">
      <c r="A29" s="12" t="s">
        <v>16</v>
      </c>
      <c r="B29" s="12">
        <f>0.0335-0.00955</f>
        <v>2.3950000000000003E-2</v>
      </c>
      <c r="C29" s="12">
        <f t="shared" si="0"/>
        <v>8.941941556496814E-3</v>
      </c>
      <c r="D29" s="12">
        <f t="shared" si="1"/>
        <v>1.0519931242937429E-6</v>
      </c>
      <c r="E29" s="12">
        <f t="shared" si="2"/>
        <v>7.8899484322030709E-9</v>
      </c>
      <c r="F29" s="12">
        <f>0.0391-0.00955</f>
        <v>2.9550000000000003E-2</v>
      </c>
      <c r="G29" s="12">
        <f t="shared" si="3"/>
        <v>1.6928364637259521E-2</v>
      </c>
      <c r="H29" s="12">
        <f t="shared" si="4"/>
        <v>1.9915723102658263E-6</v>
      </c>
      <c r="I29" s="12">
        <f t="shared" si="5"/>
        <v>1.4936792326993698E-8</v>
      </c>
      <c r="J29" s="12">
        <f t="shared" si="6"/>
        <v>7.0468438947906266E-9</v>
      </c>
    </row>
    <row r="30" spans="1:16" s="12" customFormat="1" x14ac:dyDescent="0.3">
      <c r="A30" s="12" t="s">
        <v>16</v>
      </c>
      <c r="B30" s="12">
        <f>0.0337+(0.000981)</f>
        <v>3.4681000000000003E-2</v>
      </c>
      <c r="C30" s="12">
        <f t="shared" si="0"/>
        <v>2.4245924785008349E-2</v>
      </c>
      <c r="D30" s="12">
        <f t="shared" si="1"/>
        <v>2.8524617394127469E-6</v>
      </c>
      <c r="E30" s="12">
        <f t="shared" si="2"/>
        <v>2.1393463045595602E-8</v>
      </c>
      <c r="F30" s="12">
        <f>0.0307+(0.000981)</f>
        <v>3.1681000000000001E-2</v>
      </c>
      <c r="G30" s="12">
        <f t="shared" si="3"/>
        <v>1.9967483848885467E-2</v>
      </c>
      <c r="H30" s="12">
        <f t="shared" si="4"/>
        <v>2.3491157469277021E-6</v>
      </c>
      <c r="I30" s="12">
        <f t="shared" si="5"/>
        <v>1.7618368101957764E-8</v>
      </c>
      <c r="J30" s="12">
        <f t="shared" si="6"/>
        <v>-3.7750949436378383E-9</v>
      </c>
    </row>
    <row r="31" spans="1:16" s="12" customFormat="1" x14ac:dyDescent="0.3">
      <c r="A31" s="12" t="s">
        <v>16</v>
      </c>
      <c r="B31" s="12">
        <f>0.0401-0.0175</f>
        <v>2.2599999999999995E-2</v>
      </c>
      <c r="C31" s="12">
        <f t="shared" si="0"/>
        <v>7.0166431352415093E-3</v>
      </c>
      <c r="D31" s="12">
        <f t="shared" si="1"/>
        <v>8.2548742767547172E-7</v>
      </c>
      <c r="E31" s="12">
        <f t="shared" si="2"/>
        <v>6.1911557075660372E-9</v>
      </c>
      <c r="F31" s="12">
        <f>0.047-0.0175</f>
        <v>2.9499999999999998E-2</v>
      </c>
      <c r="G31" s="12">
        <f t="shared" si="3"/>
        <v>1.685705728832413E-2</v>
      </c>
      <c r="H31" s="12">
        <f t="shared" si="4"/>
        <v>1.9831832103910741E-6</v>
      </c>
      <c r="I31" s="12">
        <f t="shared" si="5"/>
        <v>1.4873874077933056E-8</v>
      </c>
      <c r="J31" s="12">
        <f t="shared" si="6"/>
        <v>8.6827183703670175E-9</v>
      </c>
      <c r="O31" s="12" t="s">
        <v>11</v>
      </c>
      <c r="P31" s="12">
        <f>AVERAGE(J29:J33)</f>
        <v>1.9856999403535014E-9</v>
      </c>
    </row>
    <row r="32" spans="1:16" s="12" customFormat="1" x14ac:dyDescent="0.3">
      <c r="A32" s="12" t="s">
        <v>16</v>
      </c>
      <c r="B32" s="12">
        <f>0.0337-0.00206</f>
        <v>3.1640000000000001E-2</v>
      </c>
      <c r="C32" s="12">
        <f t="shared" si="0"/>
        <v>1.9909011822758456E-2</v>
      </c>
      <c r="D32" s="12">
        <f t="shared" si="1"/>
        <v>2.3422366850304066E-6</v>
      </c>
      <c r="E32" s="12">
        <f t="shared" si="2"/>
        <v>1.7566775137728049E-8</v>
      </c>
      <c r="F32" s="12">
        <f>0.0337-0.00206</f>
        <v>3.1640000000000001E-2</v>
      </c>
      <c r="G32" s="12">
        <f t="shared" si="3"/>
        <v>1.9909011822758456E-2</v>
      </c>
      <c r="H32" s="12">
        <f t="shared" si="4"/>
        <v>2.3422366850304066E-6</v>
      </c>
      <c r="I32" s="12">
        <f t="shared" si="5"/>
        <v>1.7566775137728049E-8</v>
      </c>
      <c r="J32" s="12">
        <f t="shared" si="6"/>
        <v>0</v>
      </c>
      <c r="O32" s="12" t="s">
        <v>10</v>
      </c>
      <c r="P32" s="12">
        <f>_xlfn.STDEV.P(J29:J33)</f>
        <v>4.9737002833066267E-9</v>
      </c>
    </row>
    <row r="33" spans="1:57" s="12" customFormat="1" x14ac:dyDescent="0.3">
      <c r="A33" s="12" t="s">
        <v>16</v>
      </c>
      <c r="B33" s="12">
        <f>0.03-0.00155</f>
        <v>2.845E-2</v>
      </c>
      <c r="C33" s="12">
        <f t="shared" si="0"/>
        <v>1.5359602960681127E-2</v>
      </c>
      <c r="D33" s="12">
        <f t="shared" si="1"/>
        <v>1.807012113021309E-6</v>
      </c>
      <c r="E33" s="12">
        <f t="shared" si="2"/>
        <v>1.3552590847659817E-8</v>
      </c>
      <c r="F33" s="12">
        <f>0.0323-0.00546</f>
        <v>2.6840000000000003E-2</v>
      </c>
      <c r="G33" s="12">
        <f t="shared" si="3"/>
        <v>1.3063506324961853E-2</v>
      </c>
      <c r="H33" s="12">
        <f t="shared" si="4"/>
        <v>1.5368830970543357E-6</v>
      </c>
      <c r="I33" s="12">
        <f t="shared" si="5"/>
        <v>1.1526623227907517E-8</v>
      </c>
      <c r="J33" s="13">
        <f t="shared" si="6"/>
        <v>-2.0259676197522995E-9</v>
      </c>
    </row>
    <row r="34" spans="1:57" s="12" customForma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s="12" customForma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s="12" customForma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Symes</dc:creator>
  <cp:lastModifiedBy>Mark Symes</cp:lastModifiedBy>
  <dcterms:created xsi:type="dcterms:W3CDTF">2017-07-18T12:04:52Z</dcterms:created>
  <dcterms:modified xsi:type="dcterms:W3CDTF">2017-11-14T19:37:54Z</dcterms:modified>
</cp:coreProperties>
</file>